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68" yWindow="60" windowWidth="10356" windowHeight="10116" tabRatio="595" activeTab="0"/>
  </bookViews>
  <sheets>
    <sheet name="Berechnungshilfe" sheetId="1" r:id="rId1"/>
    <sheet name="Berechnungshilfe (Beispiel)" sheetId="2" r:id="rId2"/>
    <sheet name="BH Scheinselbständigkeit" sheetId="3" r:id="rId3"/>
    <sheet name="Auszüge SECO Weisung" sheetId="4" r:id="rId4"/>
  </sheets>
  <definedNames>
    <definedName name="_Toc373740136" localSheetId="3">'Auszüge SECO Weisung'!$A$67</definedName>
    <definedName name="_xlnm.Print_Area" localSheetId="3">'Auszüge SECO Weisung'!$A$1:$A$83</definedName>
    <definedName name="_xlnm.Print_Area" localSheetId="0">'Berechnungshilfe'!$A$1:$K$62</definedName>
    <definedName name="_xlnm.Print_Area" localSheetId="1">'Berechnungshilfe (Beispiel)'!$A$1:$K$62</definedName>
    <definedName name="_xlnm.Print_Area" localSheetId="2">'BH Scheinselbständigkeit'!$A$1:$K$51</definedName>
    <definedName name="_xlnm.Print_Titles" localSheetId="0">'Berechnungshilfe'!$2:$2</definedName>
    <definedName name="_xlnm.Print_Titles" localSheetId="1">'Berechnungshilfe (Beispiel)'!$2:$2</definedName>
  </definedNames>
  <calcPr fullCalcOnLoad="1"/>
</workbook>
</file>

<file path=xl/comments1.xml><?xml version="1.0" encoding="utf-8"?>
<comments xmlns="http://schemas.openxmlformats.org/spreadsheetml/2006/main">
  <authors>
    <author>Claudio Wegm?ller</author>
    <author>Daniel Baumberger</author>
  </authors>
  <commentList>
    <comment ref="H13" authorId="0">
      <text>
        <r>
          <rPr>
            <sz val="9"/>
            <rFont val="Tahoma"/>
            <family val="2"/>
          </rPr>
          <t>Der Grundlohn wird direkt in die Berechnungstabelle übernommen.</t>
        </r>
      </text>
    </comment>
    <comment ref="H14" authorId="0">
      <text>
        <r>
          <rPr>
            <sz val="9"/>
            <rFont val="Tahoma"/>
            <family val="2"/>
          </rPr>
          <t>Die Umrechnung des monatlichen Beitrags auf einen Beitrag pro Stunde erfolgt analog zur Umrechnung des monatlichen Bruttolohnes auf einen Stundenlohn. 
(siehe unten 'Berechnungen')</t>
        </r>
      </text>
    </comment>
    <comment ref="H15" authorId="0">
      <text>
        <r>
          <rPr>
            <sz val="9"/>
            <rFont val="Tahoma"/>
            <family val="2"/>
          </rPr>
          <t>Die Ferienentschädigung ist auf Basis der Summe aus Grundlohn und vermögenswirksamer Leistungen zu berechnen.</t>
        </r>
      </text>
    </comment>
    <comment ref="C18" authorId="0">
      <text>
        <r>
          <rPr>
            <sz val="9"/>
            <rFont val="Tahoma"/>
            <family val="2"/>
          </rPr>
          <t>Falls ein Teil des Einsatzes während der Nacht, Samstags oder Sonntags stattfindet, können Sie hier die Anzahl Stunden im angeben.</t>
        </r>
        <r>
          <rPr>
            <sz val="9"/>
            <rFont val="Tahoma"/>
            <family val="2"/>
          </rPr>
          <t xml:space="preserve">
</t>
        </r>
      </text>
    </comment>
    <comment ref="H16" authorId="0">
      <text>
        <r>
          <rPr>
            <sz val="9"/>
            <rFont val="Tahoma"/>
            <family val="2"/>
          </rPr>
          <t>Die Feiertagsentschädigung ist auf Basis der Summe aus Grundlohn und vermögenswirksamer Leistungen zu berechnen.</t>
        </r>
      </text>
    </comment>
    <comment ref="H17" authorId="0">
      <text>
        <r>
          <rPr>
            <sz val="9"/>
            <rFont val="Tahoma"/>
            <family val="2"/>
          </rPr>
          <t xml:space="preserve">Ein zusätzlicher Monatslohn ist auf Basis der Summe von Grundlohn, vermögenswirksamen Leistungen und Ferien-/Feiertagsentschädigung zu berechnen. </t>
        </r>
      </text>
    </comment>
    <comment ref="H18" authorId="0">
      <text>
        <r>
          <rPr>
            <sz val="9"/>
            <rFont val="Tahoma"/>
            <family val="2"/>
          </rPr>
          <t xml:space="preserve">Ein zusätzlicher Monatslohn ist auf Basis der Summe von Grundlohn, vermögenswirksamen Leistungen und Ferien-/Feiertagsentschädigung zu berechnen. </t>
        </r>
      </text>
    </comment>
    <comment ref="H19" authorId="0">
      <text>
        <r>
          <rPr>
            <sz val="9"/>
            <rFont val="Tahoma"/>
            <family val="2"/>
          </rPr>
          <t xml:space="preserve">Das Urlaubsgeld ist auf Basis der Summe von Grundlohn, vermögenswirksamen Leistungen und Ferien-/Feiertagsentschädigung zu berechnen. </t>
        </r>
      </text>
    </comment>
    <comment ref="D25" authorId="0">
      <text>
        <r>
          <rPr>
            <sz val="9"/>
            <rFont val="Tahoma"/>
            <family val="2"/>
          </rPr>
          <t xml:space="preserve">Wählen Sie hier, ob Sie die Entsendeentschädigung in
- </t>
        </r>
        <r>
          <rPr>
            <b/>
            <sz val="9"/>
            <rFont val="Tahoma"/>
            <family val="2"/>
          </rPr>
          <t>Euro für die gesamte Einsatzdauer</t>
        </r>
        <r>
          <rPr>
            <sz val="9"/>
            <rFont val="Tahoma"/>
            <family val="2"/>
          </rPr>
          <t xml:space="preserve"> oder
- </t>
        </r>
        <r>
          <rPr>
            <b/>
            <sz val="9"/>
            <rFont val="Tahoma"/>
            <family val="2"/>
          </rPr>
          <t>Euro pro Tag</t>
        </r>
        <r>
          <rPr>
            <sz val="9"/>
            <rFont val="Tahoma"/>
            <family val="2"/>
          </rPr>
          <t xml:space="preserve">
angeben möchten.</t>
        </r>
      </text>
    </comment>
    <comment ref="D27" authorId="0">
      <text>
        <r>
          <rPr>
            <sz val="9"/>
            <rFont val="Tahoma"/>
            <family val="2"/>
          </rPr>
          <t xml:space="preserve">Wählen Sie hier, ob Sie den 13. Monatslohn 
- als </t>
        </r>
        <r>
          <rPr>
            <b/>
            <sz val="9"/>
            <rFont val="Tahoma"/>
            <family val="2"/>
          </rPr>
          <t>Geldbetrag,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Wenn Sie die Angaben als Geldbetrag angeben, müssen Sie in Feld C31 den Monatslohn einfügen.
Wird ein volles Monatsgehalt ausbezahlt, können Sie 100% angeben.</t>
        </r>
      </text>
    </comment>
    <comment ref="D28" authorId="0">
      <text>
        <r>
          <rPr>
            <sz val="9"/>
            <rFont val="Tahoma"/>
            <family val="2"/>
          </rPr>
          <t xml:space="preserve">Wählen Sie hier, ob Sie den 14. Monatslohn 
- als </t>
        </r>
        <r>
          <rPr>
            <b/>
            <sz val="9"/>
            <rFont val="Tahoma"/>
            <family val="2"/>
          </rPr>
          <t>Betrag</t>
        </r>
        <r>
          <rPr>
            <sz val="9"/>
            <rFont val="Tahoma"/>
            <family val="2"/>
          </rPr>
          <t xml:space="preserve">, 
- in </t>
        </r>
        <r>
          <rPr>
            <b/>
            <sz val="9"/>
            <rFont val="Tahoma"/>
            <family val="2"/>
          </rPr>
          <t xml:space="preserve">Prozent eines Monatsgehaltes </t>
        </r>
        <r>
          <rPr>
            <sz val="9"/>
            <rFont val="Tahoma"/>
            <family val="2"/>
          </rPr>
          <t xml:space="preserve">oder 
</t>
        </r>
        <r>
          <rPr>
            <sz val="9"/>
            <rFont val="Tahoma"/>
            <family val="2"/>
          </rPr>
          <t xml:space="preserve">
Falls Sie die Angaben als  Geldbetrag angeben, müssen Sie in Feld C31 den Monatslohn angeben
Wird ein volles Monatsgehalt ausbezahlt , können Sie 100% angeben.</t>
        </r>
      </text>
    </comment>
    <comment ref="D29" authorId="0">
      <text>
        <r>
          <rPr>
            <sz val="9"/>
            <rFont val="Tahoma"/>
            <family val="2"/>
          </rPr>
          <t xml:space="preserve">Wählen Sie hier, ob Sie das Urlaubsgeld
- als </t>
        </r>
        <r>
          <rPr>
            <b/>
            <sz val="9"/>
            <rFont val="Tahoma"/>
            <family val="2"/>
          </rPr>
          <t>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Falls Sie einen Geldbetrag angeben, müssen Sie in Feld C31 den Monatslohn eingeben.
Wird ein volles Monatsgehalt ausbezahlt, können Sie 100% eingeben. </t>
        </r>
      </text>
    </comment>
    <comment ref="C40" authorId="0">
      <text>
        <r>
          <rPr>
            <sz val="9"/>
            <rFont val="Tahoma"/>
            <family val="2"/>
          </rPr>
          <t>Angaben in dieser Zelle werden nur benötigt, wenn Nacht-, Samstags- oder Sonntagsarbeit geleistet wird.
Falls ein anderer Zuschlag, als der in Feld B40 vorgegebene, anwendbar ist, geben Sie diesen hier an. Die Angabe in diesem Feld wird dann bei der Berechnung berücksichtigt.</t>
        </r>
      </text>
    </comment>
    <comment ref="C43" authorId="0">
      <text>
        <r>
          <rPr>
            <sz val="9"/>
            <rFont val="Tahoma"/>
            <family val="2"/>
          </rPr>
          <t>Falls die Kosten für die Übernachtung direkt vom Arbeitgeber übernommen werden, muss dieses Feld leer gelassen werden.</t>
        </r>
      </text>
    </comment>
    <comment ref="D14" authorId="0">
      <text>
        <r>
          <rPr>
            <sz val="9"/>
            <rFont val="Tahoma"/>
            <family val="2"/>
          </rPr>
          <t xml:space="preserve">Wählen Sie hier, ob Sie den Grundlohn in
- </t>
        </r>
        <r>
          <rPr>
            <b/>
            <sz val="9"/>
            <rFont val="Tahoma"/>
            <family val="2"/>
          </rPr>
          <t>Euro pro Stunde</t>
        </r>
        <r>
          <rPr>
            <sz val="9"/>
            <rFont val="Tahoma"/>
            <family val="2"/>
          </rPr>
          <t xml:space="preserve"> oder
- </t>
        </r>
        <r>
          <rPr>
            <b/>
            <sz val="9"/>
            <rFont val="Tahoma"/>
            <family val="2"/>
          </rPr>
          <t xml:space="preserve">Euro pro Monat </t>
        </r>
        <r>
          <rPr>
            <sz val="9"/>
            <rFont val="Tahoma"/>
            <family val="2"/>
          </rPr>
          <t xml:space="preserve">
angeben möchten.
</t>
        </r>
      </text>
    </comment>
    <comment ref="A18" authorId="0">
      <text>
        <r>
          <rPr>
            <sz val="9"/>
            <rFont val="Tahoma"/>
            <family val="2"/>
          </rPr>
          <t xml:space="preserve">Falls ein Teil des Einsatzes während der Nacht, Samstags oder Sonntags stattfindet, können Sie hier wählen, ob es sich um 
- </t>
        </r>
        <r>
          <rPr>
            <b/>
            <sz val="9"/>
            <rFont val="Tahoma"/>
            <family val="2"/>
          </rPr>
          <t>Nachtarbeit</t>
        </r>
        <r>
          <rPr>
            <sz val="9"/>
            <rFont val="Tahoma"/>
            <family val="2"/>
          </rPr>
          <t xml:space="preserve">, 
- </t>
        </r>
        <r>
          <rPr>
            <b/>
            <sz val="9"/>
            <rFont val="Tahoma"/>
            <family val="2"/>
          </rPr>
          <t>Samstagsarbeit</t>
        </r>
        <r>
          <rPr>
            <sz val="9"/>
            <rFont val="Tahoma"/>
            <family val="2"/>
          </rPr>
          <t xml:space="preserve"> oder 
- </t>
        </r>
        <r>
          <rPr>
            <b/>
            <sz val="9"/>
            <rFont val="Tahoma"/>
            <family val="2"/>
          </rPr>
          <t>Sonntagsarbeit</t>
        </r>
        <r>
          <rPr>
            <sz val="9"/>
            <rFont val="Tahoma"/>
            <family val="2"/>
          </rPr>
          <t xml:space="preserve"> 
handelt.
</t>
        </r>
      </text>
    </comment>
    <comment ref="H20" authorId="0">
      <text>
        <r>
          <rPr>
            <sz val="9"/>
            <rFont val="Tahoma"/>
            <family val="2"/>
          </rPr>
          <t xml:space="preserve">Das Weihnachtsgeld ist auf Basis der Summe von Grundlohn, vermögenswirksamen Leistungen und Ferien-/Feiertagsentschädigung zu berechnen. </t>
        </r>
      </text>
    </comment>
    <comment ref="H22" authorId="0">
      <text>
        <r>
          <rPr>
            <sz val="9"/>
            <rFont val="Tahoma"/>
            <family val="2"/>
          </rPr>
          <t>Es werden nur diejenigen Beträge berücksichtigt, welche die tatsächliche Auslagen übersteigen.
Ein Berechnungsbeispiel finden Sie unten unter 'Berechnungen'.</t>
        </r>
      </text>
    </comment>
    <comment ref="C42" authorId="1">
      <text>
        <r>
          <rPr>
            <sz val="9"/>
            <rFont val="Tahoma"/>
            <family val="2"/>
          </rPr>
          <t>Massgebend ist der von der Eidgenössischen Steuerverwaltung publizierte Monatsmittelkurs zu Beginn des Einsatzes (siehe Link)</t>
        </r>
      </text>
    </comment>
    <comment ref="C44" authorId="1">
      <text>
        <r>
          <rPr>
            <sz val="9"/>
            <rFont val="Tahoma"/>
            <family val="2"/>
          </rPr>
          <t>Falls die Kosten für die Verpflegung direkt vom Arbeitgeber übernommen werden, muss dieses Feld leer gelassen werden.</t>
        </r>
      </text>
    </comment>
    <comment ref="D30" authorId="1">
      <text>
        <r>
          <rPr>
            <sz val="9"/>
            <rFont val="Tahoma"/>
            <family val="2"/>
          </rPr>
          <t xml:space="preserve">Wählen Sie hier, ob Sie das Weihnachtsgel
- als </t>
        </r>
        <r>
          <rPr>
            <b/>
            <sz val="9"/>
            <rFont val="Tahoma"/>
            <family val="2"/>
          </rPr>
          <t>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Falls Sie einen Geldbetrag angeben, müssen Sie in Feld C31 den Monatslohn eingeben.
Wird ein volles Monatsgehalt ausbezahlt, können Sie 100% eingeben.</t>
        </r>
      </text>
    </comment>
    <comment ref="H21" authorId="1">
      <text>
        <r>
          <rPr>
            <sz val="9"/>
            <rFont val="Tahoma"/>
            <family val="2"/>
          </rPr>
          <t>Die Entsendezulage pro Stunde wird direkt in die Berechnungstabelle übernommen.</t>
        </r>
      </text>
    </comment>
  </commentList>
</comments>
</file>

<file path=xl/comments2.xml><?xml version="1.0" encoding="utf-8"?>
<comments xmlns="http://schemas.openxmlformats.org/spreadsheetml/2006/main">
  <authors>
    <author>Claudio Wegm?ller</author>
    <author>Daniel Baumberger</author>
  </authors>
  <commentList>
    <comment ref="H13" authorId="0">
      <text>
        <r>
          <rPr>
            <sz val="9"/>
            <rFont val="Tahoma"/>
            <family val="2"/>
          </rPr>
          <t>Der Grundlohn wird direkt in die Berechnungstabelle übernommen.</t>
        </r>
      </text>
    </comment>
    <comment ref="D14" authorId="0">
      <text>
        <r>
          <rPr>
            <sz val="9"/>
            <rFont val="Tahoma"/>
            <family val="2"/>
          </rPr>
          <t xml:space="preserve">Wählen Sie hier, ob Sie den Grundlohn in
- </t>
        </r>
        <r>
          <rPr>
            <b/>
            <sz val="9"/>
            <rFont val="Tahoma"/>
            <family val="2"/>
          </rPr>
          <t>Euro pro Stunde</t>
        </r>
        <r>
          <rPr>
            <sz val="9"/>
            <rFont val="Tahoma"/>
            <family val="2"/>
          </rPr>
          <t xml:space="preserve"> oder
- </t>
        </r>
        <r>
          <rPr>
            <b/>
            <sz val="9"/>
            <rFont val="Tahoma"/>
            <family val="2"/>
          </rPr>
          <t xml:space="preserve">Euro pro Monat </t>
        </r>
        <r>
          <rPr>
            <sz val="9"/>
            <rFont val="Tahoma"/>
            <family val="2"/>
          </rPr>
          <t xml:space="preserve">
angeben möchten.
</t>
        </r>
      </text>
    </comment>
    <comment ref="H14" authorId="0">
      <text>
        <r>
          <rPr>
            <sz val="9"/>
            <rFont val="Tahoma"/>
            <family val="2"/>
          </rPr>
          <t>Die Umrechnung des monatlichen Beitrags auf einen Beitrag pro Stunde erfolgt analog zur Umrechnung des monatlichen Bruttolohnes auf einen Stundenlohn. 
(siehe unten 'Berechnungen')</t>
        </r>
      </text>
    </comment>
    <comment ref="H15" authorId="0">
      <text>
        <r>
          <rPr>
            <sz val="9"/>
            <rFont val="Tahoma"/>
            <family val="2"/>
          </rPr>
          <t>Die Ferienentschädigung ist auf Basis der Summe aus Grundlohn und vermögenswirksamer Leistungen zu berechnen.</t>
        </r>
      </text>
    </comment>
    <comment ref="H16" authorId="0">
      <text>
        <r>
          <rPr>
            <sz val="9"/>
            <rFont val="Tahoma"/>
            <family val="2"/>
          </rPr>
          <t>Die Feiertagsentschädigung ist auf Basis der Summe aus Grundlohn und vermögenswirksamer Leistungen zu berechnen.</t>
        </r>
      </text>
    </comment>
    <comment ref="H17" authorId="0">
      <text>
        <r>
          <rPr>
            <sz val="9"/>
            <rFont val="Tahoma"/>
            <family val="2"/>
          </rPr>
          <t xml:space="preserve">Ein zusätzlicher Monatslohn ist auf Basis der Summe von Grundlohn, vermögenswirksamen Leistungen und Ferien-/Feiertagsentschädigung zu berechnen. </t>
        </r>
      </text>
    </comment>
    <comment ref="A18" authorId="0">
      <text>
        <r>
          <rPr>
            <sz val="9"/>
            <rFont val="Tahoma"/>
            <family val="2"/>
          </rPr>
          <t xml:space="preserve">Falls ein Teil des Einsatzes während der Nacht, Samstags oder Sonntags stattfindet, können Sie hier wählen, ob es sich um 
- </t>
        </r>
        <r>
          <rPr>
            <b/>
            <sz val="9"/>
            <rFont val="Tahoma"/>
            <family val="2"/>
          </rPr>
          <t>Nachtarbeit</t>
        </r>
        <r>
          <rPr>
            <sz val="9"/>
            <rFont val="Tahoma"/>
            <family val="2"/>
          </rPr>
          <t xml:space="preserve">, 
- </t>
        </r>
        <r>
          <rPr>
            <b/>
            <sz val="9"/>
            <rFont val="Tahoma"/>
            <family val="2"/>
          </rPr>
          <t>Samstagsarbeit</t>
        </r>
        <r>
          <rPr>
            <sz val="9"/>
            <rFont val="Tahoma"/>
            <family val="2"/>
          </rPr>
          <t xml:space="preserve"> oder 
- </t>
        </r>
        <r>
          <rPr>
            <b/>
            <sz val="9"/>
            <rFont val="Tahoma"/>
            <family val="2"/>
          </rPr>
          <t>Sonntagsarbeit</t>
        </r>
        <r>
          <rPr>
            <sz val="9"/>
            <rFont val="Tahoma"/>
            <family val="2"/>
          </rPr>
          <t xml:space="preserve"> 
handelt.
</t>
        </r>
      </text>
    </comment>
    <comment ref="C18" authorId="0">
      <text>
        <r>
          <rPr>
            <sz val="9"/>
            <rFont val="Tahoma"/>
            <family val="2"/>
          </rPr>
          <t>Falls ein Teil des Einsatzes während der Nacht, Samstags oder Sonntags stattfindet, können Sie hier die Anzahl Stunden im angeben.</t>
        </r>
        <r>
          <rPr>
            <sz val="9"/>
            <rFont val="Tahoma"/>
            <family val="2"/>
          </rPr>
          <t xml:space="preserve">
</t>
        </r>
      </text>
    </comment>
    <comment ref="H18" authorId="0">
      <text>
        <r>
          <rPr>
            <sz val="9"/>
            <rFont val="Tahoma"/>
            <family val="2"/>
          </rPr>
          <t xml:space="preserve">Ein zusätzlicher Monatslohn ist auf Basis der Summe von Grundlohn, vermögenswirksamen Leistungen und Ferien-/Feiertagsentschädigung zu berechnen. </t>
        </r>
      </text>
    </comment>
    <comment ref="H19" authorId="0">
      <text>
        <r>
          <rPr>
            <sz val="9"/>
            <rFont val="Tahoma"/>
            <family val="2"/>
          </rPr>
          <t xml:space="preserve">Das Urlaubsgeld ist auf Basis der Summe von Grundlohn, vermögenswirksamen Leistungen und Ferien-/Feiertagsentschädigung zu berechnen. </t>
        </r>
      </text>
    </comment>
    <comment ref="H20" authorId="0">
      <text>
        <r>
          <rPr>
            <sz val="9"/>
            <rFont val="Tahoma"/>
            <family val="2"/>
          </rPr>
          <t xml:space="preserve">Das Weihnachtsgeld ist auf Basis der Summe von Grundlohn, vermögenswirksamen Leistungen und Ferien-/Feiertagsentschädigung zu berechnen. </t>
        </r>
      </text>
    </comment>
    <comment ref="H21" authorId="1">
      <text>
        <r>
          <rPr>
            <sz val="9"/>
            <rFont val="Tahoma"/>
            <family val="2"/>
          </rPr>
          <t>Die Entsendezulage pro Stunde wird direkt in die Berechnungstabelle übernommen.</t>
        </r>
      </text>
    </comment>
    <comment ref="H22" authorId="0">
      <text>
        <r>
          <rPr>
            <sz val="9"/>
            <rFont val="Tahoma"/>
            <family val="2"/>
          </rPr>
          <t>Es werden nur diejenigen Beträge berücksichtigt, welche die tatsächliche Auslagen übersteigen.
Ein Berechnungsbeispiel finden Sie unten unter 'Berechnungen'.</t>
        </r>
      </text>
    </comment>
    <comment ref="D25" authorId="0">
      <text>
        <r>
          <rPr>
            <sz val="9"/>
            <rFont val="Tahoma"/>
            <family val="2"/>
          </rPr>
          <t xml:space="preserve">Wählen Sie hier, ob Sie die Entsendeentschädigung in
- </t>
        </r>
        <r>
          <rPr>
            <b/>
            <sz val="9"/>
            <rFont val="Tahoma"/>
            <family val="2"/>
          </rPr>
          <t>Euro für die gesamte Einsatzdauer</t>
        </r>
        <r>
          <rPr>
            <sz val="9"/>
            <rFont val="Tahoma"/>
            <family val="2"/>
          </rPr>
          <t xml:space="preserve"> oder
- </t>
        </r>
        <r>
          <rPr>
            <b/>
            <sz val="9"/>
            <rFont val="Tahoma"/>
            <family val="2"/>
          </rPr>
          <t>Euro pro Tag</t>
        </r>
        <r>
          <rPr>
            <sz val="9"/>
            <rFont val="Tahoma"/>
            <family val="2"/>
          </rPr>
          <t xml:space="preserve">
angeben möchten.</t>
        </r>
      </text>
    </comment>
    <comment ref="D27" authorId="0">
      <text>
        <r>
          <rPr>
            <sz val="9"/>
            <rFont val="Tahoma"/>
            <family val="2"/>
          </rPr>
          <t xml:space="preserve">Wählen Sie hier, ob Sie den 13. Monatslohn 
- als </t>
        </r>
        <r>
          <rPr>
            <b/>
            <sz val="9"/>
            <rFont val="Tahoma"/>
            <family val="2"/>
          </rPr>
          <t>Geldbetrag,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Wenn Sie die Angaben als Geldbetrag angeben, müssen Sie in Feld C31 den Monatslohn einfügen.
Wird ein volles Monatsgehalt ausbezahlt, können Sie 100% angeben.</t>
        </r>
      </text>
    </comment>
    <comment ref="D28" authorId="0">
      <text>
        <r>
          <rPr>
            <sz val="9"/>
            <rFont val="Tahoma"/>
            <family val="2"/>
          </rPr>
          <t xml:space="preserve">Wählen Sie hier, ob Sie den 14. Monatslohn 
- als </t>
        </r>
        <r>
          <rPr>
            <b/>
            <sz val="9"/>
            <rFont val="Tahoma"/>
            <family val="2"/>
          </rPr>
          <t>Betrag</t>
        </r>
        <r>
          <rPr>
            <sz val="9"/>
            <rFont val="Tahoma"/>
            <family val="2"/>
          </rPr>
          <t xml:space="preserve">, 
- in </t>
        </r>
        <r>
          <rPr>
            <b/>
            <sz val="9"/>
            <rFont val="Tahoma"/>
            <family val="2"/>
          </rPr>
          <t xml:space="preserve">Prozent eines Monatsgehaltes </t>
        </r>
        <r>
          <rPr>
            <sz val="9"/>
            <rFont val="Tahoma"/>
            <family val="2"/>
          </rPr>
          <t xml:space="preserve">oder 
</t>
        </r>
        <r>
          <rPr>
            <sz val="9"/>
            <rFont val="Tahoma"/>
            <family val="2"/>
          </rPr>
          <t xml:space="preserve">
Falls Sie die Angaben als  Geldbetrag angeben, müssen Sie in Feld C31 den Monatslohn angeben
Wird ein volles Monatsgehalt ausbezahlt , können Sie 100% angeben.</t>
        </r>
      </text>
    </comment>
    <comment ref="D29" authorId="0">
      <text>
        <r>
          <rPr>
            <sz val="9"/>
            <rFont val="Tahoma"/>
            <family val="2"/>
          </rPr>
          <t xml:space="preserve">Wählen Sie hier, ob Sie das Urlaubsgeld
- als </t>
        </r>
        <r>
          <rPr>
            <b/>
            <sz val="9"/>
            <rFont val="Tahoma"/>
            <family val="2"/>
          </rPr>
          <t>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Falls Sie einen Geldbetrag angeben, müssen Sie in Feld C31 den Monatslohn eingeben.
Wird ein volles Monatsgehalt ausbezahlt, können Sie 100% eingeben. </t>
        </r>
      </text>
    </comment>
    <comment ref="D30" authorId="1">
      <text>
        <r>
          <rPr>
            <sz val="9"/>
            <rFont val="Tahoma"/>
            <family val="2"/>
          </rPr>
          <t xml:space="preserve">Wählen Sie hier, ob Sie das Weihnachtsgel
- als </t>
        </r>
        <r>
          <rPr>
            <b/>
            <sz val="9"/>
            <rFont val="Tahoma"/>
            <family val="2"/>
          </rPr>
          <t>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Falls Sie einen Geldbetrag angeben, müssen Sie in Feld C31 den Monatslohn eingeben.
Wird ein volles Monatsgehalt ausbezahlt, können Sie 100% eingeben.</t>
        </r>
      </text>
    </comment>
    <comment ref="C40" authorId="0">
      <text>
        <r>
          <rPr>
            <sz val="9"/>
            <rFont val="Tahoma"/>
            <family val="2"/>
          </rPr>
          <t>Angaben in dieser Zelle werden nur benötigt, wenn Nacht-, Samstags- oder Sonntagsarbeit geleistet wird.
Falls ein anderer Zuschlag, als der in Feld B40 vorgegebene, anwendbar ist, geben Sie diesen hier an. Die Angabe in diesem Feld wird dann bei der Berechnung berücksichtigt.</t>
        </r>
      </text>
    </comment>
    <comment ref="C42" authorId="1">
      <text>
        <r>
          <rPr>
            <sz val="9"/>
            <rFont val="Tahoma"/>
            <family val="2"/>
          </rPr>
          <t>Massgebend ist der von der Eidgenössischen Steuerverwaltung publizierte Monatsmittelkurs zu Beginn des Einsatzes (siehe Link)</t>
        </r>
      </text>
    </comment>
    <comment ref="C43" authorId="0">
      <text>
        <r>
          <rPr>
            <sz val="9"/>
            <rFont val="Tahoma"/>
            <family val="2"/>
          </rPr>
          <t>Falls die Kosten für die Übernachtung direkt vom Arbeitgeber übernommen werden, muss dieses Feld leer gelassen werden.</t>
        </r>
      </text>
    </comment>
    <comment ref="C44" authorId="1">
      <text>
        <r>
          <rPr>
            <sz val="9"/>
            <rFont val="Tahoma"/>
            <family val="2"/>
          </rPr>
          <t>Falls die Kosten für die Verpflegung direkt vom Arbeitgeber übernommen werden, muss dieses Feld leer gelassen werden.</t>
        </r>
      </text>
    </comment>
  </commentList>
</comments>
</file>

<file path=xl/comments3.xml><?xml version="1.0" encoding="utf-8"?>
<comments xmlns="http://schemas.openxmlformats.org/spreadsheetml/2006/main">
  <authors>
    <author>Claudio Wegm?ller</author>
    <author>Daniel Baumberger</author>
  </authors>
  <commentList>
    <comment ref="D10" authorId="0">
      <text>
        <r>
          <rPr>
            <sz val="9"/>
            <color indexed="8"/>
            <rFont val="Tahoma"/>
            <family val="2"/>
          </rPr>
          <t xml:space="preserve">Wählen Sie hier, ob Sie den Werklohn in
- </t>
        </r>
        <r>
          <rPr>
            <b/>
            <sz val="9"/>
            <color indexed="8"/>
            <rFont val="Tahoma"/>
            <family val="2"/>
          </rPr>
          <t>Euro pro Stunde</t>
        </r>
        <r>
          <rPr>
            <sz val="9"/>
            <color indexed="8"/>
            <rFont val="Tahoma"/>
            <family val="2"/>
          </rPr>
          <t xml:space="preserve"> oder
- </t>
        </r>
        <r>
          <rPr>
            <b/>
            <sz val="9"/>
            <color indexed="8"/>
            <rFont val="Tahoma"/>
            <family val="2"/>
          </rPr>
          <t xml:space="preserve">Pauschale in Euro </t>
        </r>
        <r>
          <rPr>
            <sz val="9"/>
            <color indexed="8"/>
            <rFont val="Tahoma"/>
            <family val="2"/>
          </rPr>
          <t xml:space="preserve">
angeben möchten.
</t>
        </r>
      </text>
    </comment>
    <comment ref="A14" authorId="0">
      <text>
        <r>
          <rPr>
            <sz val="9"/>
            <color indexed="8"/>
            <rFont val="Tahoma"/>
            <family val="2"/>
          </rPr>
          <t xml:space="preserve">Falls ein Teil des Einsatzes während der Nacht, Samstags oder Sonntags stattfindet, können Sie hier wählen, ob es sich um 
- </t>
        </r>
        <r>
          <rPr>
            <b/>
            <sz val="9"/>
            <color indexed="8"/>
            <rFont val="Tahoma"/>
            <family val="2"/>
          </rPr>
          <t>Nachtarbeit</t>
        </r>
        <r>
          <rPr>
            <sz val="9"/>
            <color indexed="8"/>
            <rFont val="Tahoma"/>
            <family val="2"/>
          </rPr>
          <t xml:space="preserve">, 
- </t>
        </r>
        <r>
          <rPr>
            <b/>
            <sz val="9"/>
            <color indexed="8"/>
            <rFont val="Tahoma"/>
            <family val="2"/>
          </rPr>
          <t>Samstagsarbeit</t>
        </r>
        <r>
          <rPr>
            <sz val="9"/>
            <color indexed="8"/>
            <rFont val="Tahoma"/>
            <family val="2"/>
          </rPr>
          <t xml:space="preserve"> oder 
- </t>
        </r>
        <r>
          <rPr>
            <b/>
            <sz val="9"/>
            <color indexed="8"/>
            <rFont val="Tahoma"/>
            <family val="2"/>
          </rPr>
          <t>Sonntagsarbeit</t>
        </r>
        <r>
          <rPr>
            <sz val="9"/>
            <color indexed="8"/>
            <rFont val="Tahoma"/>
            <family val="2"/>
          </rPr>
          <t xml:space="preserve"> 
handelt.
</t>
        </r>
      </text>
    </comment>
    <comment ref="C14" authorId="0">
      <text>
        <r>
          <rPr>
            <sz val="9"/>
            <color indexed="8"/>
            <rFont val="Tahoma"/>
            <family val="2"/>
          </rPr>
          <t>Falls ein Teil des Einsatzes während der Nacht, Samstags oder Sonntags stattfindet, können Sie hier die Anzahl Stunden angeben.</t>
        </r>
        <r>
          <rPr>
            <sz val="9"/>
            <color indexed="8"/>
            <rFont val="Tahoma"/>
            <family val="2"/>
          </rPr>
          <t xml:space="preserve">
</t>
        </r>
      </text>
    </comment>
    <comment ref="D18" authorId="0">
      <text>
        <r>
          <rPr>
            <sz val="9"/>
            <color indexed="8"/>
            <rFont val="Tahoma"/>
            <family val="2"/>
          </rPr>
          <t xml:space="preserve">Wählen Sie hier, ob Sie die Entsendeentschädigung in
- </t>
        </r>
        <r>
          <rPr>
            <b/>
            <sz val="9"/>
            <color indexed="8"/>
            <rFont val="Tahoma"/>
            <family val="2"/>
          </rPr>
          <t>Euro für die gesamte Einsatzdauer</t>
        </r>
        <r>
          <rPr>
            <sz val="9"/>
            <color indexed="8"/>
            <rFont val="Tahoma"/>
            <family val="2"/>
          </rPr>
          <t xml:space="preserve"> oder
- </t>
        </r>
        <r>
          <rPr>
            <b/>
            <sz val="9"/>
            <color indexed="8"/>
            <rFont val="Tahoma"/>
            <family val="2"/>
          </rPr>
          <t>Euro pro Tag</t>
        </r>
        <r>
          <rPr>
            <sz val="9"/>
            <color indexed="8"/>
            <rFont val="Tahoma"/>
            <family val="2"/>
          </rPr>
          <t xml:space="preserve">
angeben möchten.</t>
        </r>
      </text>
    </comment>
    <comment ref="C30" authorId="0">
      <text>
        <r>
          <rPr>
            <sz val="9"/>
            <color indexed="8"/>
            <rFont val="Tahoma"/>
            <family val="2"/>
          </rPr>
          <t>Angaben in dieser Zelle werden nur benötigt, wenn Nacht-, Samstags- oder Sonntagsarbeit geleistet wird.
Falls ein anderer Zuschlag, als der in Feld B30 vorgegebene, anwendbar ist, geben Sie diesen hier an. Die Angabe in diesem Feld wird dann bei der Berechnung berücksichtigt.</t>
        </r>
      </text>
    </comment>
    <comment ref="C32" authorId="1">
      <text>
        <r>
          <rPr>
            <sz val="9"/>
            <color indexed="8"/>
            <rFont val="Tahoma"/>
            <family val="2"/>
          </rPr>
          <t>Massgebend ist der von der Eidgenössischen Steuerverwaltung publizierte Monatsmittelkurs zu Beginn des Einsatzes (siehe Link)</t>
        </r>
      </text>
    </comment>
    <comment ref="C33" authorId="0">
      <text>
        <r>
          <rPr>
            <sz val="9"/>
            <color indexed="8"/>
            <rFont val="Tahoma"/>
            <family val="2"/>
          </rPr>
          <t>Falls die Kosten für die Übernachtung direkt vom Arbeitgeber übernommen werden, kann dieses Feld leer gelassen werden.</t>
        </r>
      </text>
    </comment>
    <comment ref="C34" authorId="0">
      <text>
        <r>
          <rPr>
            <sz val="9"/>
            <color indexed="8"/>
            <rFont val="Tahoma"/>
            <family val="2"/>
          </rPr>
          <t xml:space="preserve">Falls die Kosten für die Verpflegung direkt vom Arbeitgeber übernommen werden, kann dieses Feld leer gelassen werden.
</t>
        </r>
      </text>
    </comment>
    <comment ref="C35" authorId="0">
      <text>
        <r>
          <rPr>
            <sz val="9"/>
            <color indexed="8"/>
            <rFont val="Tahoma"/>
            <family val="2"/>
          </rPr>
          <t xml:space="preserve">Falls die Kosten für die Anreise direkt vom Arbeitgeber übernommen werden (bspw. durch Zurverfügungstellung eines Fahrzeugs), kann dieses Feld leer gelassen werden.
</t>
        </r>
      </text>
    </comment>
  </commentList>
</comments>
</file>

<file path=xl/sharedStrings.xml><?xml version="1.0" encoding="utf-8"?>
<sst xmlns="http://schemas.openxmlformats.org/spreadsheetml/2006/main" count="384" uniqueCount="164">
  <si>
    <t>Berechnungshilfe zur Weisung "Vorgehen zum Internationaler Lohnvergleich"</t>
  </si>
  <si>
    <t>Die Angaben in den gelben Feldern sind  Beispiele</t>
  </si>
  <si>
    <t>Soll Schweiz</t>
  </si>
  <si>
    <t xml:space="preserve"> </t>
  </si>
  <si>
    <t>CHF</t>
  </si>
  <si>
    <t>Euro</t>
  </si>
  <si>
    <t>Grundlohn</t>
  </si>
  <si>
    <t>Euro pro Std.</t>
  </si>
  <si>
    <t>Entsendezulage</t>
  </si>
  <si>
    <t>Einsatzdauer in Tagen</t>
  </si>
  <si>
    <t>Tage</t>
  </si>
  <si>
    <t>Entsendeentschädigung</t>
  </si>
  <si>
    <t>Anzahl Übernachtungen</t>
  </si>
  <si>
    <t>Übernachtungen</t>
  </si>
  <si>
    <t>Einsatzdauer in Stunden</t>
  </si>
  <si>
    <t>Stunden</t>
  </si>
  <si>
    <t>Vermögenswirksame Leistungen</t>
  </si>
  <si>
    <t>Euro pro Monat</t>
  </si>
  <si>
    <t>Ferienentschädigung</t>
  </si>
  <si>
    <t>Stunden pro Woche</t>
  </si>
  <si>
    <t>Feiertagsentschädigung</t>
  </si>
  <si>
    <t>Ferien</t>
  </si>
  <si>
    <t>13. Monatslohn</t>
  </si>
  <si>
    <t>Feiertage</t>
  </si>
  <si>
    <t>14. Monatslohn</t>
  </si>
  <si>
    <t>Bruttostundenlohn</t>
  </si>
  <si>
    <t>%</t>
  </si>
  <si>
    <t>CHF/Euro</t>
  </si>
  <si>
    <t>Differenz Bruttostundenlohn</t>
  </si>
  <si>
    <t>Grundlohn (pro Stunde)</t>
  </si>
  <si>
    <t>Vergleich Stundenlohn:</t>
  </si>
  <si>
    <t xml:space="preserve">          davon Nachtarbeit</t>
  </si>
  <si>
    <t>Euro pro Jahr</t>
  </si>
  <si>
    <t>% eines Monatsgehaltes</t>
  </si>
  <si>
    <t>Differenz Total</t>
  </si>
  <si>
    <t xml:space="preserve">          davon Sonntagsarbeit</t>
  </si>
  <si>
    <t xml:space="preserve">          davon Samstagsarbeit</t>
  </si>
  <si>
    <t>Berechnungen:</t>
  </si>
  <si>
    <t>Grundlohn:</t>
  </si>
  <si>
    <t>Der Grundlohn pro Stunde kann direk in die Tabelle übernommen werden.</t>
  </si>
  <si>
    <t>Entsendzulage:</t>
  </si>
  <si>
    <t>Falls die Entsendezulage pro Stunde ausgewiesen wird, kann diese ebenfalls direkt in die Tabelle übernommen werden.</t>
  </si>
  <si>
    <t>Entsendeentschädigung:</t>
  </si>
  <si>
    <t>Sollten die tatsächlichen Ausgaben die Entsendeentschädigung übersteigen, so wird der fehlende Betrag vom Grundlohn 
(auf der Ist-Seite) abgezogen (anteilsmässig, je Stunde).</t>
  </si>
  <si>
    <t>Vermögenswirksame Leistungen:</t>
  </si>
  <si>
    <t xml:space="preserve">Die Umrechnung des monatlichen Beitrags auf einen Beitrag pro Stunde erfolgt analog zur Umrechnung des monatlichen Bruttolohnes 
auf einen Stundenlohn.       
</t>
  </si>
  <si>
    <t>Ferienentschädigung:</t>
  </si>
  <si>
    <t xml:space="preserve">Die Prozentzahl, die zu addieren ist, ergibt sich aus folgender Berechnung: </t>
  </si>
  <si>
    <t xml:space="preserve">Der Betrag, der in die Tabelle eingesetzt wird ist dann: </t>
  </si>
  <si>
    <t>Feiertagsentschädigung:</t>
  </si>
  <si>
    <t>Die Berechnung erfolgt analog zur Berechnung der Ferienentschädigung.</t>
  </si>
  <si>
    <t>13./14. Monatslohn:</t>
  </si>
  <si>
    <t>Urlaubsgeld/Weihnachtsgeld:</t>
  </si>
  <si>
    <t>Analog zur Berechnung des 13./14. Monatslohnes</t>
  </si>
  <si>
    <t>Wechselkurs:</t>
  </si>
  <si>
    <t xml:space="preserve">Falls die Lohnabrechnung in Euro ausgewiesen ist, müssen der Grundlohn sowie die Zuschläge durch den 
monatlichen Wechselkurs CHF/Euro geteilt werden, um einen mit den Schweizerlöhnen vergleichbaren Bruttostundenlohn zu erhalten.
</t>
  </si>
  <si>
    <t>Ist Herkunftsland</t>
  </si>
  <si>
    <t>% (prozentualer Zuschlag auf den Stundenlohn)</t>
  </si>
  <si>
    <t>Arbeitsstunden pro Woche im Herkunftsland</t>
  </si>
  <si>
    <t>Euro für die Einsatzdauer</t>
  </si>
  <si>
    <t>Euro pro Tag</t>
  </si>
  <si>
    <t>Ist nur der monatliche Bruttolohn ausgewiesen, so ist dieser durch die vertraglich vereinbarte Anzahl Monatsstunden zu dividieren.
Ist lediglich die Anzahl Jahresstunden bekannt, so kann der monatliche Bruttolohn mit Hilfe folgender Berechnung ermittelt werden:
Im Durchschnitt von 4 Jahren besteht ein Jahr aus 52 Wochen:      52 × Anzahl Wochenstunden = Jahresstunden
                                                                                                   Anzahl Jahresstunden / 12 = Anzahl Stunden pro Monat
                                                                                                   monatlicher Bruttolohn / Anzahl Stunden pro Monat = Stundenlohn</t>
  </si>
  <si>
    <t xml:space="preserve">Die Ferien- und Feiertagsentschädigung ist auf Basis der Summe aus Grundlohn und vermögenswirksamer Leistungen zu berechnen.     </t>
  </si>
  <si>
    <t>Herkunftsland (Angaben in Euro) / IST-Seite</t>
  </si>
  <si>
    <t>Schweiz (Angaben In CHF) / SOLL-Seite</t>
  </si>
  <si>
    <t xml:space="preserve">Allgemeine Bemerkungen: </t>
  </si>
  <si>
    <t xml:space="preserve">Verstösse sollen nur dann signalisiert werden falls eine Lohndifferenz beim endgültigen Total erscheint und nicht bei einer einzelnen Position. </t>
  </si>
  <si>
    <t>Entsendefirma</t>
  </si>
  <si>
    <t>Name, Vorname des Mitarbeiters</t>
  </si>
  <si>
    <t>Entsendedauer (von - bis)</t>
  </si>
  <si>
    <t xml:space="preserve">Wechselkurs </t>
  </si>
  <si>
    <t>Auszüge: Weisung "Vorgehen zum internationalen Lohnvergleich"</t>
  </si>
  <si>
    <t xml:space="preserve">Für den Lohnvergleich stellt sich auch die Abgrenzungsfrage, wann und wo der Einsatz beginnt. Im Allgemeinen gelten nationale private und öffentlich-rechtliche Vorschriften nur innerhalb des jeweiligen Staatsgebietes (Territorialitätsprinzip). Dieses Prinzip gilt auch im Anwendungsbereich des Entsendegesetzes und damit beim internationalen Lohnvergleich. Die für den Lohnvergleich massgebenden Bestimmungen in den Bundesgesetzen, allgemeinverbindlich erklärten Gesamtarbeitsverträgen und Normalarbeitsverträgen sind nur auf Sachverhalte in der Schweiz anwendbar. Konkret bedeutet dies, dass beim Lohnvergleich für den Beginn des Einsatzes frühestens auf den Zeitraum ab dem Schweizer Grenzort abzustellen ist. </t>
  </si>
  <si>
    <t>1.2 Beginn des Einsatzes</t>
  </si>
  <si>
    <t>3.1 Grundlohn</t>
  </si>
  <si>
    <t xml:space="preserve">Gemäss Artikel 1 Buchstabe a EntsV bezieht sich der Mindestlohn auf die übliche Arbeitszeit und die erworbenen Qualifikationen. Da national unterschiedliche Arbeitszeiten berücksichtigt werden müssen, ist der Lohnvergleich auf der Basis des Bruttostundenlohnes vorzunehmen. Der Bruttolohn ist der Lohnabrechnung oder dem Arbeitsvertrag zu entnehmen. </t>
  </si>
  <si>
    <t>Ist nur der monatliche Bruttolohn ausgewiesen, so ist dieser durch die vertraglich vereinbarte Anzahl Monatsstunden zu dividieren. Wenn diese nicht bekannt sind, ist auf die Anzahl Arbeitsstunden gemäss dem anwendbaren ave GAV oder auf die übliche Monatsarbeitszeit abzustützen. Das folgende Beispiel basiert auf 52 Wochen im Jahr, bzw. 21,75 Arbeitstagen pro Monat. Beispiel: 42-Stunden-Woche / Monatslohn CHF 4000.-</t>
  </si>
  <si>
    <t>Als massgebender Grundlohn auf der Soll-Seite gilt der im Zeitpunkt des Einsatzes geltende ave GAV-Mindestlohn bzw. der orts-, berufs- oder branchenübliche Lohn. Anhaltspunkte für die Einstufung in die richtige Lohnkategorie geben der Arbeitsvertrag, die abgeschlossene Berufsausbildung, das Alter sowie die ausgeübte Tätigkeit, welche im Kontrollrapport aufgeführt ist.</t>
  </si>
  <si>
    <t xml:space="preserve">3.3 Entsendeentschädigungen </t>
  </si>
  <si>
    <t>Gemäss Artikel 2 Absatz 3 EntsG gelten die im Zusammenhang mit der Entsendung gewährten Entschädigungen als Lohnbestandteil, sofern sie keinen Ersatz für tatsächlich getätigte Aufwendungen wie solche für Reise, Verpflegung und Unterkunft darstellen.</t>
  </si>
  <si>
    <t>Unter die Entsendeentschädigungen können einerseits die Zahlungen des Arbeitgebers fallen, welche der Deckung der tatsächlichen Aufwendungen (Spesen) für den Einsatz in der Schweiz dienen, andererseits aber auch Zahlungen, welche den Lohnunterschied zwischen der Schweiz und dem Herkunftsland kompensieren und daher den Charakter von Entsendezulagen haben.</t>
  </si>
  <si>
    <t>3.3.1 Spesen</t>
  </si>
  <si>
    <r>
      <t xml:space="preserve">Da die Entschädigung für Spesen nicht zum Bruttolohn hinzugezählt werden darf, ist für den Lohnvergleich eine Abgrenzung zwischen den zwei erwähnten Vergütungsarten vorzunehmen. Primär sind bei der Abgrenzung die </t>
    </r>
    <r>
      <rPr>
        <i/>
        <sz val="11"/>
        <rFont val="Arial"/>
        <family val="2"/>
      </rPr>
      <t>tatsächlichen</t>
    </r>
    <r>
      <rPr>
        <sz val="11"/>
        <rFont val="Arial"/>
        <family val="2"/>
      </rPr>
      <t xml:space="preserve"> Aufwendungen für Reise, Übernachtung und Verpflegung massgebend. Falls die tatsächlichen Aufwendungen nicht belegt werden können, ist auf Pauschalbeträge abzustellen. In Branchen mit allgemein verbindlich erklärten Gesamtarbeitsverträgen sind die vertraglich vereinbarten Pauschalen anwendbar. Sieht schliesslich ein allgemeinverbindlich erklärter Gesamtarbeitsvertrag keine Pauschalbeträge vor oder gibt es in einer Branche keinen allgemenverbindlich erklärten Gesamtarbeitsvertrag, ist auf die folgenden Ansätze abzustellen. </t>
    </r>
  </si>
  <si>
    <t>3.3.2 Entsendezulagen</t>
  </si>
  <si>
    <t>Wie oben erwähnt, gelten Zulagen, die der Kompensation des Lohnunterschiedes zwischen der Schweiz und dem Herkunftsland dienen, als Lohnbestandteil. Entsendezulagen stellen sozialversicherungsrechtlich Arbeitsentgelt dar (unabhängig davon, ob nach dem anwendbaren Sozialversicherungsrecht Beiträge darauf entrichtet werden müssen) und werden üblicherweise separat auf der Lohnabrechnung aufgeführt. Werden sie nicht bereits pro in der Schweiz geleistete Arbeitsstunde entrichtet, so sind sie auf die Stunde umzurechnen und zum Grundlohn (Ist-Seite) hinzuzufügen.</t>
  </si>
  <si>
    <t>3.4 Vermögenswirksame Leistungen nach deutschem Vermögensbildungsgesetz</t>
  </si>
  <si>
    <t>Deutsche Arbeitnehmer haben gemäss Vermögensbildungsgesetz  das Recht, Teile ihres Lohnes durch ihren Arbeitgeber vermögenswirksam anlegen zu lassen. Die Anlage kann in Form eines Bausparvertrages oder in anderen Anlageformen erfolgen. Die vermögenswirksamen Leistungen werden entweder durch den Arbeitnehmer und/oder den Arbeitgeber finanziert. Die Pflicht des Arbeitgebers zur Zahlung zusätzlicher vermögenswirksamer Leistungen entsteht durch Kollektiv- oder Einzelvereinbarung.</t>
  </si>
  <si>
    <t>Aufgrund dieser Ausgangslage müssen die vom Arbeitgeber entrichteten und ausgewiesenen vermögenswirksamen Leistungen als Lohnbestandteil betrachtet werden. Sie sind beim Lohnvergleich mit zu berücksichtigen.</t>
  </si>
  <si>
    <t>Die Umrechnung des monatlichen Beitrags von vermögenswirksamen Leistungen auf einen Beitrag pro Stunde erfolgt analog zur Umrechnung des monatlichen Bruttolohnes auf den Bruttostundenlohn (siehe Ziffer 3.1).</t>
  </si>
  <si>
    <t>3.5 Ferienlohn</t>
  </si>
  <si>
    <t>Auf der Ist-Seite sind die tatsächlich gewährten Ferientage, auf der Soll-Seite die in ave GAV vorgeschriebenen oder die üblicherweise gewährten Ferientage zu berücksichtigen. Die minimale gesetzliche Feriendauer beträgt vier Wochen im Jahr, für Arbeitnehmer bis zum vollendeten 20. Altersjahr mindestens fünf Wochen (Art. 329a OR). Die Ferienentschädigung ist auf dem Grundlohn zuzüglich der vemögenswirksamen Leistungen zu berechnen.</t>
  </si>
  <si>
    <t>Die Prozentsätze in der folgenden Tabelle sind zur Ferien- und Feiertagsentschädigung heranzuziehen.</t>
  </si>
  <si>
    <t xml:space="preserve">Ein Jahr hat 365 Tage. Der 365. Tag wird so behandelt, als ob er ein Samstag oder Sonntag wäre. Das Jahr wird mit 52 Wochen gleichgesetzt. Nach Abzug der 104 arbeitsfreien Tage ergibt das 260 Arbeitstage im Jahr. 
Beispiel: Hat jemand Anspruch auf vier Wochen Ferien (also 20 Arbeitstage), so beträgt der Ferienanspruch im Verhältnis zur Arbeitszeit.
</t>
  </si>
  <si>
    <t xml:space="preserve">1 Tag = 0.39%      11 Tage = 4.42%     21 Tage = 8.79%     31 Tage = 13.54%
2 Tage = 0.78%    12 Tage = 4.84%     22 Tage = 9.24%      32 Tage = 14.04%
3 Tage = 1.17%    13 Tage = 5.26%     23 Tage = 9.70%      33 Tage = 14.54%
4 Tage = 1.56%    14 Tage = 5.69%     24 Tage = 10.17%    34 Tage = 15.04%
5 Tage = 1.96%    15 Tage = 6.12%     25 Tage = 10.64%    35 Tage = 15.56%
6 Tage = 2.36%    16 Tage = 6.56%     26 Tage = 11.11%    36 Tage = 16.07%
7 Tage = 2.77%    17 Tage = 7.00%     27 Tage = 11.59%    37 Tage = 16.59%
8 Tage = 3.17%    18 Tage = 7.44%     28 Tage = 12.07%    38 Tage = 17.12%
9 Tage = 3.59%    19 Tage = 7.88%     29 Tage = 12.55%    39 Tage = 17.65%
10 Tage = 4.00%   20 Tage = 8.33 %   30 Tage = 13.04%     40 Tage = 18.18%
</t>
  </si>
  <si>
    <t>Übernachtung inkl. Frühstück: CHF 150.-                                                                                     Übernachtung ohne Frühstück: CHF 135.-                                                                                     Frühstück CHF 15.-                                                                                                                      Mittagessen; Abendessen je CHF 20.-</t>
  </si>
  <si>
    <t>Beispiel: Einem Entsandten stehen in seinem Herkunftsland 30 Tage Ferien pro Jahr zur Verfügung. Ein Schweizer Angestellter in derselben Branche hat ein Anrecht auf 20 Ferientage pro Jahr. Um die Stundenlöhne der beiden Personen vergleichen zu können, muss zum Schweizer Grundlohn ein Anteil des Grundlohns von 0.0833 (8.33%) hinzuaddiert werden. Zur Berechnung des Lohnes auf der Ist-Seite muss zum Grundlohn zuzüglich der vemögenswirksamen Leistungen ein Anteil von 0.1304 (13.04%) davon hinzuaddiert werden.</t>
  </si>
  <si>
    <r>
      <t xml:space="preserve">Deutsche und österreichische Arbeitgeber im Baugewerbe müssen zugunsten ihrer Arbeitnehmer ein </t>
    </r>
    <r>
      <rPr>
        <b/>
        <sz val="11"/>
        <rFont val="Arial"/>
        <family val="2"/>
      </rPr>
      <t>Urlaubsentgelt</t>
    </r>
    <r>
      <rPr>
        <sz val="11"/>
        <rFont val="Arial"/>
        <family val="2"/>
      </rPr>
      <t xml:space="preserve"> an eine Urlaubskasse entrichten. Dieses Entgelt entspricht dem obligatorischen Ferienlohn in der Schweiz gemäss Artikel 329d OR. Da nach der vorliegend vorgegebenen Berechnungsmethode der Ferienlohn auf der Ist-Seite schon berücksichtigt wird, käme es einer doppelten Anrechnung gleich, wenn das Urlaubsentgelt auf der Ist-Seite aufgeführt würde. Es ist daher grundsätzlich nicht einzubeziehen. Ist jedoch das Urlaubsentgelt höher als der Ferienlohn, so ist der Differenzbetrag auf der Ist-Seite hinzuzurechnen.</t>
    </r>
  </si>
  <si>
    <t>Sieht ein ave GAV eine Beitragspflicht an eine Ferienausgleichskasse vor, so ist der Arbeitgeber von der Zahlung von Beiträgen zu befreien, wenn er die Vergütung des Urlaubsentgelts nachweisen kann (Art. 2 Abs. 2 EntsG)</t>
  </si>
  <si>
    <t>3.6 Feiertagsentschädigung</t>
  </si>
  <si>
    <t xml:space="preserve">Mit Ausnahme des 1. Augusts unterliegen die von den Kantonen bezeichneten Feiertage nicht der Lohnzahlungspflicht. Die Lohnzahlungspflicht an Feiertagen kann jedoch in GAV, NAV oder in Einzelarbeitsverträgen geregelt sein. Die Feiertagsentschädigungen sind deshalb auch beim internationalen Lohnvergleich zu beachten. Dabei ist der Anspruch auf Feiertage während des gesamten Kalenderjahres zu berücksichtigen, nicht nur der Anspruch auf Feiertage während des Einsatzes und unabhängig davon, auf welchen Wochentag der ob der Feiertag auf einen Werktag fällt. Damit wird der Differenz zwischen den in der Schweiz und im Herkunftsstaat gewährten Feiertagen Rechnung getragen. </t>
  </si>
  <si>
    <t xml:space="preserve">Im Internet sind unter http://www.feiertagskalender.ch/die in den europäischen Staaten und ihren Regionen geltenden Feiertage abrufbar. Im Zweifelsfall muss der Arbeitgeber die Anzahl Feiertage nachweisen. Auf der Soll-Seite sind die kantonal geltenden Feiertage aufzuführen. Die für die Berechnung der Feiertagsentschädigung massgebenden Prozentsätze entsprechen den oben zur Berechnung der Ferienentschädigung aufgeführten Ansätzen. </t>
  </si>
  <si>
    <t>Analog dem Ferienanspruch sind auf der Ist-Seite die tatsächlich gewährten Feiertage, auf der Soll-Seite die in ave GAV vorgeschriebenen oder die üblicherweise gewährten Feiertage zu berücksichtigen. Die Feiertagsentschädigung ist ebenfalls auf dem Grundlohn zuzüglich der vermögenswirksamen Leistungen zu berechnen.</t>
  </si>
  <si>
    <t>3.7       13. und 14. Monatslohn</t>
  </si>
  <si>
    <t>Grundsätzlich gilt zu beachten, dass das Entsendegesetz keine neuen Ansprüche zugunsten von Entsandten schafft. Dies bedeutet, dass ein Arbeitgeber nicht generell verpflichtet werden kann, einen 13. Monatslohn zu bezahlen, ohne dass dies im anwendbaren ave GAV/NAV vorgeschrieben wäre. Nur wenn eine zwingende rechtliche Grundlage nach schweizerischem Recht besteht, ist der 13. Monatslohn auf der Soll-Seite aufzuführen.</t>
  </si>
  <si>
    <t>Vom Grundsatz der zwingenden rechtlichen Grundlage im schweizerischen Recht ist im folgenden Fall abzuweichen: In Präzisierung der Weisung vom 20. Februar 2007  ist der effektiv vergütete 13. und 14. Monatslohn auf der Ist-Seite auch dann zu berücksichtigen, wenn keine entsprechende verbindliche Grundlage nach schweizerischem Recht besteht. Es wäre als stossend zu betrachten, wenn ein Arbeitgeber aufgrund einer Einzelvereinbarung, einer Kollektivvereinbarung oder einer anderen zwingenden Vorschrift im Herkunftsland einen 13. und 14. Monatslohn vergütet, der wegen fehlender verbindlicher Grundlage in der Schweiz aber nicht berücksichtigt werden könnte.</t>
  </si>
  <si>
    <t>Der 13. Monatslohn ist auf dem Grundlohn zuzüglich der vermögenswirksamen Leistungen sowie der Ferien- und Feiertagsentschädigung zu berechnen. Entspricht der zusätzliche Monatslohn einem vollen Monatsgehalt (100%), so ist ein Betrag von 1/12 (entspricht 8.33%) mal der Summe aus Grundlohn, vermögenswirksamen Leistungen und Feiertags-/Ferienentschädigung zu addieren.</t>
  </si>
  <si>
    <t>3.8 Obligatorische Zuschläge für Überstunden, Akkord-, Schicht-, Nacht-, Sonntags- und Feiertagsarbeit</t>
  </si>
  <si>
    <t xml:space="preserve">Werden diese Arbeiten in der Schweiz geleistet, so müssen die darauf entfallenden Zuschläge auf der Soll-Seite in die Lohnberechnung miteinbezogen werden. Massgebend sind die obligatorischen Zuschläge gemäss OR und Arbeitsgesetz. Wo eine Regelung in einem ave GAV oder NAV besteht, ist auf diese Zuschläge abzustellen.
Kann der Arbeitgeber nachweisen, dass die geleistete Mehrarbeit in der Schweiz oder im Herkunftsland (evtl. mit Zeitzuschlag) kompensiert wird, so entfällt der Zuschlag. Voraussetzung ist aber, dass die Kompensation nach Arbeitsgesetz und anwendbarem ave GAV zulässig ist.
</t>
  </si>
  <si>
    <t>Zum Effektiv-Lohn hinzuzuzählen sind auch die insbesondere in Deutschland bekannten Urlaubs- und Weihnachtsgelder. Das Weihnachtsgeld ist ein zusätzliches Entgelt des Arbeitgebers, das in der Regel mit dem Novembergehalt ausbezahlt wird. Der Anspruch kann entstehen aus Tarifvertrag, Arbeitsvertrag, Betriebsvereinbarung oder freiwilliger Leistung des Arbeitgebers. Auf dem Weihnachtsgeld sind Steuern und Sozialabgaben zu entrichten.</t>
  </si>
  <si>
    <t>Das Urlaubsgeld ist ein zusätzliches Entgelt des Arbeitgebers, das meist mit dem Junigehalt ausbezahlt wird. Der Anspruch darauf kann aus Tarifvertrag, Betriebsvereinbarung und Arbeitsvertrag entstehen.</t>
  </si>
  <si>
    <t>Beide Leistungen weisen Züge von Sondervergütungen im Sinne von Artikel 322d OR auf. Die Abgrenzung zum 13. Monatslohn ist jedoch fliessend, weshalb die Berücksichtigung beim Lohnvergleich als Gegenstück zum 13. Monatslohn gerechtfertigt ist. Voraussetzung ist, dass der Arbeitgeber diese Zahlungen belegen kann. Da der Zahlungstermin im Juni und Ende Jahr erfolgt, ist auf die Belege von Vorjahreszahlungen abzustützen. Diese Zuwendungen entsprechen zusammengerechnet in der Regel einem 13. Monatsgehalt, also 8.33 Prozent. Auf der Soll-Seite ist der 13. Monatslohn einzusetzen, auf der Ist-Seite das Urlaubs- und Weihnachtsgeld.</t>
  </si>
  <si>
    <t>3.11 Wechselkurs</t>
  </si>
  <si>
    <t xml:space="preserve">Unter folgendem Link der Eidgenössischen Steuerverwaltung (ESTV) werden monatlich die Durchschnittswechselkurse veröffentlicht:
http://www.estv.admin.ch/d/mwst/dienstleistungen/kurse/index.htm
Der publizierte Monatsmittelkurs zu Beginn des Einsatzes ist massgebend. Bsp: Beginnt ein Einsatz am 14. April 2014, ist der für den Monat April 2014 von der ESTV publizierte Monatsmittelkurs anwendbar (Publikation erfolgt jeweils am 25. des Vormonats). Diese Regelung gilt unabhängig von der Dauer des Einsatzes. </t>
  </si>
  <si>
    <t>Übernachtungspauschale</t>
  </si>
  <si>
    <t>Verpflegungspauschale</t>
  </si>
  <si>
    <t>Urlaubsgeld</t>
  </si>
  <si>
    <t>Weihnachtsgeld</t>
  </si>
  <si>
    <t>3.9 Urlaubsgeld / Weihnachtsgeld</t>
  </si>
  <si>
    <t xml:space="preserve">          davon Reisezeit in der Schweiz</t>
  </si>
  <si>
    <t xml:space="preserve">Die Differenz zwischen der Entsendeentschädigung gemäss Art. 2 Abs. 3 EntsG und dem Total der Spesen resp. der Spesenpauschale ist als Entsendezulage (Abschnitt 3.3.2) zum Grundlohn (Ist-Seite) hinzuzuzählen, d.h. durch die in der Schweiz geleisteten Arbeitsstunden (inkl. Reisezeit ab Grenze)  zu dividieren und zum Stundenlohn hinzuzufügen. In diesem Zusammenhang ist nicht massgebend, ob darauf Sozialversicherungsbeiträge erhoben werden oder nicht. In Präzisierung der Weisung vom 20. Februar 2007  ist für die Anrechnung von Entsendeentschädigungen als Lohnbestandteil also nicht primär entscheidend, ob sie sozialversicherungspflichtig sind oder nicht, sondern, ob sie die tatsächlichen Aufwendungen übersteigen. </t>
  </si>
  <si>
    <t>Diese sind nur als Richtgrössen zu verstehen, da die regionalen Kostenunterschiede bei den Spesen berücksichtigt werden sollen. Diese Pauschalbeträge werden in CHF ausgewiesen, da nicht alle EU-Länder den € als Währung haben. Kann die Übernahme oder die Vergütung der Kosten für Reise, Übernachtung und Verpflegung vom Arbeitgeber nicht nachgewiesen werden, so werden diese Kosten gestützt auf Art. 2 Abs. 3 EntsG vom Grundlohn abgezogen. Kann die Übernahme oder die Vergütung nur für einen Teil der Kosten nachgewiesen werden, so wird der fehlende Betrag vom Grundlohn (anteilsmässig pro Stunde) abgezogen. Die Pflicht der Spesenvergütung erfolgt unabhängig davon, ob die Kosten während des Einsatzes (für die Einsatzdauer ab Meldung) im In- oder Ausland anfallen.</t>
  </si>
  <si>
    <t>Primär sind bei der Abgrenzung die tatsächlichen Aufwendungen für die Reise, Übernachtung und Verpflegung massgebend. Werden die Kosten direkt vom Arbeitgeber übernommen (z.B. Bezahlung der Hotelrechnung), so müssen beim Lohnvergleich die Kosten und die Aufwendungen des Arbeitgebenden nicht berücksichtigt werden (die Felder C25, C43 und C44 müssen leer gelassen werden).
Es werden nur diejenigen Beträge berücksichtigt, welche die tatsächlichen Auslagen übersteigen.
Vom Pauschalbetrag werden die Kosten für Übernachtung (150 CHF pro Tag) und Verpflegung (40 CHF pro Tag) abgezogen.
Bsp:  8 Übernachtungen und 8 Arbeitstage 
Entsendeentschädigung: 1'200 Euro  =  1570.20 CHF
tatsächliche Aufwendungen:  8*150 CHF+ 8*40 CHF =  1520 CHF
überschüssiger Betrag: 50.20 CHF
überschüssiger Betrag pro Arbeitsstunde: 50.20CHF / 64 = 0.78 CHF
→ 0.78 CHF werden zum Grundlohn addiert.</t>
  </si>
  <si>
    <t>Ein zusätzlicher Monatslohn ist auf Basis der Summe von Grundlohn, 
vermögenswirksamen Leistungen und Ferien-/Feiertagsentschädigung zu berechnen.    
Entspricht der zusätzliche Monatslohn einem vollen Monatsgehalt (100%), so ist ein Betrag von 1/12 mal der Summe von Grundlohn, vermögenswirksamen Leistungen und Ferien-/Feiertagsentschädigung zu addieren. Sollte nur ein Bruchteil eines Monatslohnes ausbezahlt werden, ist nur dieser zu berücksichtigen.</t>
  </si>
  <si>
    <t>Angaben zur Firma, Entsendedauer, Mitarbeiter</t>
  </si>
  <si>
    <t>Ihre Firma</t>
  </si>
  <si>
    <t>Ihr Mitarbeiter</t>
  </si>
  <si>
    <t>MUSTER AG</t>
  </si>
  <si>
    <t>Hans Beispiel</t>
  </si>
  <si>
    <t>{0}</t>
  </si>
  <si>
    <t xml:space="preserve">07.04.2014 - 16.04.2014  </t>
  </si>
  <si>
    <t xml:space="preserve">Herkunftsland (Angaben in Euro) </t>
  </si>
  <si>
    <t>Soll Stundenlohn:</t>
  </si>
  <si>
    <t>Werklohn</t>
  </si>
  <si>
    <t>Pauschale in Euro</t>
  </si>
  <si>
    <t>bezahlte Ferien</t>
  </si>
  <si>
    <t>bezahlte Feiertage</t>
  </si>
  <si>
    <t>Vergleich Werklohn/Soll Total:</t>
  </si>
  <si>
    <t>Soll</t>
  </si>
  <si>
    <t>pro Stunde</t>
  </si>
  <si>
    <t>Anzahl Stunden</t>
  </si>
  <si>
    <t>Total</t>
  </si>
  <si>
    <t>Kosten für Material, Arbeitsgeräte und Ähnliches</t>
  </si>
  <si>
    <t>Soll für Einsätze während Normalarbeitszeit:</t>
  </si>
  <si>
    <t>Schweiz (Angaben In CHF)</t>
  </si>
  <si>
    <t>Ist</t>
  </si>
  <si>
    <t>Kosten für Übernachtung</t>
  </si>
  <si>
    <t>Kosten für Verpflegung</t>
  </si>
  <si>
    <t>Wechselkurs</t>
  </si>
  <si>
    <t>Kosten für Anreise</t>
  </si>
  <si>
    <t>Beim Lohnvergleich bei festgestellter Scheinselbständigkeit wird im Gegensatz zum Lohnvergleich bei entsandten Arbeitnehmenden auf die gesamte Auftragssumme abgestellt (es wird kein direkter Lohnvergleich auf Basis des Stundenlohns durchgeführt), weil der Werklohn bei der Auftragsvergabe an einen selbständig Erwerbenden oft als Pauschale vereinbart wird.
Als Basis auf der Sollseite dienen die Mindeststundelöhne, die in der Schweiz verbindlich sind.</t>
  </si>
  <si>
    <t>Werklohn:</t>
  </si>
  <si>
    <t>Je nachdem, wie der Werklohn ausbezahlt wird, kann er als Stundenlohn oder als Pauschalbetrag angegeben werden.
Auf der Sollseite wird der in der Schweiz geltende Mindestlohn (inkl. Entschädigungen für Ferien- und Feiertage sowie 13. Monatslohn) multipliziert mit der Einsatzdauer verwendet.</t>
  </si>
  <si>
    <t xml:space="preserve">Primär sind bei der Abgrenzung die tatsächlichen Aufwendungen für die Reise, Übernachtung und Verpflegung massgebend. Werden die Kosten direkt vom Arbeitgeber übernommen (z.B. Bezahlung der Hotelrechnung), so müssen beim Lohnvergleich die Kosten und die Aufwendungen des Arbeitgebers nicht berücksichtigt werden (die Felder C20, C33, C34 und C35 können leer gelassen werden).
Es werden nur diejenigen Beträge berücksichtigt, welche die tatsächlichen Auslagen übersteigen.
Vom Pauschalbetrag werden die Kosten für Übernachtung (150 CHF pro Tag), Verpflegung (40 CHF pro Tag) sowie für die Anreise (60 CHF; entspricht einem Anfahrtsweg von 100 km mit dem eigenen Fahrzeug) abgezogen.
Bsp:  8 Übernachtungen und 8 Arbeitstage 
Entsendeentschädigung: 1'300 Euro  =  1'588.99 CHF
tatsächliche Aufwendungen:  8×150 CHF+ 8×40 CHF +0.6×100 =  1'580 CHF
überschüssiger Betrag: 8.99 CHF
→ 8.99 CHF werden zum Werklohn addiert.
</t>
  </si>
  <si>
    <t>Kosten für Anreise:</t>
  </si>
  <si>
    <t>Hat der Arbeitnehmende für die Anreise sein eigenes Fahrzeug benutzt, so ist der im anwendbaren ave GAV festgelegte Kostenansatz anzuwenden. Wenn im Einzelfall keine Regelung besteht, ist für den Gebrauch des eigenen Fahrzeugs eine Entschädigung von CHF 0.60 pro Kilometer anzuwenden. Für die Ermittlung der Reisekosten ist der gesamte zurückgelegte Hin- und Rückweg zu berücksichtigen, das heisst der Weg vom Abfahrtsort im Herkunftsland bis zum Einsatzort in der Schweiz und zurück.</t>
  </si>
  <si>
    <t>Sollten die tatsächlichen Ausgaben die Entsendeentschädigung übersteigen, so wird der fehlende Betrag vom Werklohn 
(auf der Ist-Seite) abgezogen.</t>
  </si>
  <si>
    <t>Kosten für Material, Arbeitsgeräte und Ähnliches:</t>
  </si>
  <si>
    <t>Falls der Arbeitnehmende nachweislich weitere Aufwendungen zu tätigen hatte, die in einem Arbeitsverhältnis der Arbeitgeber zu tragen hat, so werden diese Kosten vom Werklohn in Abzug gebracht.</t>
  </si>
  <si>
    <t>Ferien- und Feiertagsentschädigung:</t>
  </si>
  <si>
    <t>Die Berechnung der Ferien- und Feiertagsentschädigung auf der Soll-Seite wird analog zur Berechnung der Entschädigung bei entsandten Arbeitnehmenden durchgeführt.</t>
  </si>
  <si>
    <t>13. /14. Monatslohn:</t>
  </si>
  <si>
    <t>Die Berechnung der Entschädigung für einen allfälligen 13. oder 14. Monatslohn auf der Soll-Seite wird ebenfalls analog zur Berechnung der Entschädigung bei entsandten Arbeitnehmenden durchgeführt.</t>
  </si>
  <si>
    <t>Bemerkungen:</t>
  </si>
  <si>
    <t>Dezember 2016</t>
  </si>
</sst>
</file>

<file path=xl/styles.xml><?xml version="1.0" encoding="utf-8"?>
<styleSheet xmlns="http://schemas.openxmlformats.org/spreadsheetml/2006/main">
  <numFmts count="3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quot;Ja&quot;;&quot;Ja&quot;;&quot;Nein&quot;"/>
    <numFmt numFmtId="177" formatCode="&quot;Wahr&quot;;&quot;Wahr&quot;;&quot;Falsch&quot;"/>
    <numFmt numFmtId="178" formatCode="&quot;Ein&quot;;&quot;Ein&quot;;&quot;Aus&quot;"/>
    <numFmt numFmtId="179" formatCode="0.0000"/>
    <numFmt numFmtId="180" formatCode="0.00_ ;[Red]\-0.00\ "/>
    <numFmt numFmtId="181" formatCode="[$€-2]\ #,##0.00_);[Red]\([$€-2]\ #,##0.00\)"/>
    <numFmt numFmtId="182" formatCode="#,##0.00_ ;[Red]\-#,##0.00\ "/>
    <numFmt numFmtId="183" formatCode="0.000"/>
    <numFmt numFmtId="184" formatCode="0.00000"/>
    <numFmt numFmtId="185" formatCode="0.0_ ;[Red]\-0.0\ "/>
    <numFmt numFmtId="186" formatCode="0.000_ ;[Red]\-0.000\ "/>
    <numFmt numFmtId="187" formatCode="0.0000_ ;[Red]\-0.0000\ "/>
    <numFmt numFmtId="188" formatCode="0.00000_ ;[Red]\-0.00000\ "/>
    <numFmt numFmtId="189" formatCode="0_ ;[Red]\-0\ "/>
    <numFmt numFmtId="190" formatCode="0.0"/>
    <numFmt numFmtId="191" formatCode="0.000000"/>
    <numFmt numFmtId="192" formatCode="[$-807]dddd\,\ d\.\ mmmm\ yyyy"/>
    <numFmt numFmtId="193" formatCode="[$-407]mmm/\ yy;@"/>
  </numFmts>
  <fonts count="67">
    <font>
      <sz val="10"/>
      <name val="Arial"/>
      <family val="0"/>
    </font>
    <font>
      <u val="single"/>
      <sz val="10"/>
      <color indexed="12"/>
      <name val="Arial"/>
      <family val="2"/>
    </font>
    <font>
      <u val="single"/>
      <sz val="10"/>
      <color indexed="36"/>
      <name val="Arial"/>
      <family val="2"/>
    </font>
    <font>
      <sz val="11"/>
      <name val="Arial"/>
      <family val="2"/>
    </font>
    <font>
      <b/>
      <sz val="11"/>
      <name val="Arial"/>
      <family val="2"/>
    </font>
    <font>
      <b/>
      <sz val="12"/>
      <name val="Arial"/>
      <family val="2"/>
    </font>
    <font>
      <sz val="12"/>
      <name val="Arial"/>
      <family val="2"/>
    </font>
    <font>
      <i/>
      <sz val="12"/>
      <name val="Arial"/>
      <family val="2"/>
    </font>
    <font>
      <sz val="9"/>
      <name val="Tahoma"/>
      <family val="2"/>
    </font>
    <font>
      <b/>
      <sz val="9"/>
      <name val="Tahoma"/>
      <family val="2"/>
    </font>
    <font>
      <u val="single"/>
      <sz val="12"/>
      <name val="Arial"/>
      <family val="2"/>
    </font>
    <font>
      <i/>
      <sz val="11"/>
      <name val="Arial"/>
      <family val="2"/>
    </font>
    <font>
      <b/>
      <i/>
      <sz val="11"/>
      <name val="Arial"/>
      <family val="2"/>
    </font>
    <font>
      <b/>
      <u val="single"/>
      <sz val="10"/>
      <name val="Arial"/>
      <family val="2"/>
    </font>
    <font>
      <b/>
      <sz val="10"/>
      <name val="Arial"/>
      <family val="2"/>
    </font>
    <font>
      <sz val="9"/>
      <color indexed="8"/>
      <name val="Tahoma"/>
      <family val="2"/>
    </font>
    <font>
      <b/>
      <sz val="9"/>
      <color indexed="8"/>
      <name val="Tahoma"/>
      <family val="2"/>
    </font>
    <font>
      <u val="single"/>
      <sz val="12"/>
      <color indexed="12"/>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9"/>
      <name val="Arial"/>
      <family val="2"/>
    </font>
    <font>
      <u val="single"/>
      <sz val="12"/>
      <color indexed="30"/>
      <name val="Arial"/>
      <family val="2"/>
    </font>
    <font>
      <sz val="11"/>
      <color indexed="22"/>
      <name val="Arial"/>
      <family val="2"/>
    </font>
    <font>
      <sz val="10"/>
      <color indexed="22"/>
      <name val="Arial"/>
      <family val="2"/>
    </font>
    <font>
      <sz val="12"/>
      <color indexed="53"/>
      <name val="Arial"/>
      <family val="2"/>
    </font>
    <font>
      <sz val="7.75"/>
      <color indexed="8"/>
      <name val="Arial"/>
      <family val="0"/>
    </font>
    <font>
      <b/>
      <sz val="7.75"/>
      <color indexed="8"/>
      <name val="Arial"/>
      <family val="0"/>
    </font>
    <font>
      <sz val="12"/>
      <color indexed="8"/>
      <name val="Arial"/>
      <family val="0"/>
    </font>
    <font>
      <sz val="12"/>
      <color indexed="8"/>
      <name val="Cambria Math"/>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theme="0"/>
      <name val="Arial"/>
      <family val="2"/>
    </font>
    <font>
      <u val="single"/>
      <sz val="12"/>
      <color rgb="FF0070C0"/>
      <name val="Arial"/>
      <family val="2"/>
    </font>
    <font>
      <sz val="11"/>
      <color rgb="FFF2F2F2"/>
      <name val="Arial"/>
      <family val="2"/>
    </font>
    <font>
      <sz val="10"/>
      <color rgb="FFF2F2F2"/>
      <name val="Arial"/>
      <family val="2"/>
    </font>
    <font>
      <sz val="12"/>
      <color rgb="FFFF66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8" tint="0.5999900102615356"/>
        <bgColor indexed="64"/>
      </patternFill>
    </fill>
    <fill>
      <patternFill patternType="solid">
        <fgColor rgb="FFC0C0C0"/>
        <bgColor indexed="64"/>
      </patternFill>
    </fill>
    <fill>
      <patternFill patternType="solid">
        <fgColor rgb="FFCCFFFF"/>
        <bgColor indexed="64"/>
      </patternFill>
    </fill>
    <fill>
      <patternFill patternType="solid">
        <fgColor indexed="22"/>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double"/>
    </border>
    <border>
      <left style="thin"/>
      <right/>
      <top/>
      <bottom style="double"/>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style="thin"/>
      <top/>
      <bottom style="thin"/>
    </border>
    <border>
      <left/>
      <right style="thin"/>
      <top/>
      <bottom/>
    </border>
    <border>
      <left style="thin"/>
      <right style="thin"/>
      <top style="thin"/>
      <bottom style="double"/>
    </border>
    <border>
      <left style="thin"/>
      <right style="thin"/>
      <top>
        <color indexed="63"/>
      </top>
      <bottom>
        <color indexed="63"/>
      </bottom>
    </border>
    <border>
      <left style="thin"/>
      <right/>
      <top/>
      <bottom/>
    </border>
    <border>
      <left style="thin"/>
      <right style="thin"/>
      <top style="thin"/>
      <bottom>
        <color indexed="63"/>
      </bottom>
    </border>
    <border>
      <left/>
      <right/>
      <top style="thin"/>
      <bottom style="double"/>
    </border>
    <border>
      <left style="thin"/>
      <right/>
      <top style="thin"/>
      <bottom style="double"/>
    </border>
    <border>
      <left style="thin"/>
      <right/>
      <top style="thin"/>
      <bottom/>
    </border>
    <border>
      <left/>
      <right style="thin"/>
      <top style="thin"/>
      <bottom/>
    </border>
    <border>
      <left/>
      <right/>
      <top style="thin"/>
      <bottom style="thin"/>
    </border>
    <border>
      <left>
        <color indexed="63"/>
      </left>
      <right style="hair">
        <color indexed="55"/>
      </right>
      <top style="thin"/>
      <bottom style="thin"/>
    </border>
    <border>
      <left style="hair">
        <color indexed="55"/>
      </left>
      <right style="hair">
        <color indexed="55"/>
      </right>
      <top style="thin"/>
      <bottom style="thin"/>
    </border>
    <border>
      <left style="hair">
        <color indexed="55"/>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hair">
        <color indexed="55"/>
      </left>
      <right style="thin"/>
      <top style="thin"/>
      <bottom style="thin"/>
    </border>
    <border>
      <left/>
      <right style="thin"/>
      <top/>
      <bottom style="double"/>
    </border>
    <border>
      <left/>
      <right style="thin"/>
      <top style="thin"/>
      <bottom style="double"/>
    </border>
    <border>
      <left style="hair">
        <color rgb="FF969696"/>
      </left>
      <right/>
      <top style="thin">
        <color rgb="FF969696"/>
      </top>
      <bottom style="thin">
        <color rgb="FF969696"/>
      </bottom>
    </border>
    <border>
      <left/>
      <right/>
      <top style="thin">
        <color rgb="FF969696"/>
      </top>
      <bottom style="thin">
        <color rgb="FF969696"/>
      </bottom>
    </border>
    <border>
      <left/>
      <right style="hair">
        <color rgb="FF969696"/>
      </right>
      <top style="thin">
        <color rgb="FF969696"/>
      </top>
      <bottom style="thin">
        <color rgb="FF969696"/>
      </bottom>
    </border>
    <border>
      <left style="hair">
        <color rgb="FF969696"/>
      </left>
      <right style="hair">
        <color rgb="FF969696"/>
      </right>
      <top style="thin">
        <color rgb="FF969696"/>
      </top>
      <bottom style="thin">
        <color rgb="FF969696"/>
      </bottom>
    </border>
    <border>
      <left/>
      <right/>
      <top/>
      <bottom style="dashed"/>
    </border>
    <border>
      <left style="dashed"/>
      <right/>
      <top style="dashed"/>
      <bottom/>
    </border>
    <border>
      <left/>
      <right/>
      <top style="dashed"/>
      <bottom/>
    </border>
    <border>
      <left style="dashed"/>
      <right/>
      <top/>
      <bottom/>
    </border>
    <border>
      <left style="hair">
        <color indexed="55"/>
      </left>
      <right style="hair">
        <color indexed="55"/>
      </right>
      <top style="thin">
        <color indexed="55"/>
      </top>
      <bottom style="thin">
        <color indexed="55"/>
      </bottom>
    </border>
    <border>
      <left/>
      <right/>
      <top/>
      <bottom style="thin">
        <color rgb="FFF79646"/>
      </bottom>
    </border>
    <border>
      <left style="thin">
        <color rgb="FFF79646"/>
      </left>
      <right/>
      <top style="thin">
        <color rgb="FFF79646"/>
      </top>
      <bottom style="thin">
        <color rgb="FFF79646"/>
      </bottom>
    </border>
    <border>
      <left/>
      <right/>
      <top style="thin">
        <color rgb="FFF79646"/>
      </top>
      <bottom style="thin">
        <color rgb="FFF79646"/>
      </bottom>
    </border>
    <border>
      <left/>
      <right style="thin">
        <color rgb="FFF79646"/>
      </right>
      <top style="thin">
        <color rgb="FFF79646"/>
      </top>
      <bottom style="thin">
        <color rgb="FFF79646"/>
      </bottom>
    </border>
    <border>
      <left/>
      <right/>
      <top style="thin">
        <color rgb="FFF79646"/>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250">
    <xf numFmtId="0" fontId="0" fillId="0" borderId="0" xfId="0" applyAlignment="1">
      <alignment/>
    </xf>
    <xf numFmtId="0" fontId="3" fillId="0" borderId="0" xfId="0" applyFont="1" applyFill="1" applyAlignment="1">
      <alignment vertical="center"/>
    </xf>
    <xf numFmtId="0" fontId="6" fillId="0" borderId="0" xfId="0" applyFont="1" applyBorder="1" applyAlignment="1" applyProtection="1">
      <alignment/>
      <protection/>
    </xf>
    <xf numFmtId="0" fontId="0" fillId="0" borderId="0" xfId="0" applyFont="1" applyFill="1" applyBorder="1" applyAlignment="1" applyProtection="1">
      <alignment vertical="center"/>
      <protection/>
    </xf>
    <xf numFmtId="0" fontId="6" fillId="0" borderId="10" xfId="0" applyFont="1" applyBorder="1" applyAlignment="1" applyProtection="1">
      <alignment horizontal="center"/>
      <protection/>
    </xf>
    <xf numFmtId="0" fontId="6" fillId="0" borderId="11" xfId="0" applyFont="1" applyBorder="1" applyAlignment="1" applyProtection="1">
      <alignment horizontal="center"/>
      <protection/>
    </xf>
    <xf numFmtId="0" fontId="6" fillId="0" borderId="12" xfId="0" applyFont="1" applyBorder="1" applyAlignment="1" applyProtection="1">
      <alignment/>
      <protection/>
    </xf>
    <xf numFmtId="2" fontId="6" fillId="0" borderId="13" xfId="0" applyNumberFormat="1" applyFont="1" applyBorder="1" applyAlignment="1" applyProtection="1">
      <alignment horizontal="center"/>
      <protection/>
    </xf>
    <xf numFmtId="2" fontId="6" fillId="0" borderId="12" xfId="0" applyNumberFormat="1" applyFont="1" applyBorder="1" applyAlignment="1" applyProtection="1">
      <alignment horizontal="center"/>
      <protection/>
    </xf>
    <xf numFmtId="2" fontId="6" fillId="33" borderId="12" xfId="0" applyNumberFormat="1" applyFont="1" applyFill="1" applyBorder="1" applyAlignment="1" applyProtection="1">
      <alignment horizontal="center"/>
      <protection/>
    </xf>
    <xf numFmtId="0" fontId="5" fillId="0" borderId="14" xfId="0" applyFont="1" applyBorder="1" applyAlignment="1" applyProtection="1">
      <alignment/>
      <protection/>
    </xf>
    <xf numFmtId="180" fontId="6" fillId="0" borderId="15" xfId="0" applyNumberFormat="1" applyFont="1" applyBorder="1" applyAlignment="1" applyProtection="1">
      <alignment horizontal="center"/>
      <protection/>
    </xf>
    <xf numFmtId="0" fontId="0" fillId="0" borderId="0" xfId="0" applyFont="1" applyFill="1" applyBorder="1" applyAlignment="1" applyProtection="1">
      <alignment/>
      <protection/>
    </xf>
    <xf numFmtId="0" fontId="6" fillId="34" borderId="16" xfId="0" applyFont="1" applyFill="1" applyBorder="1" applyAlignment="1" applyProtection="1">
      <alignment/>
      <protection/>
    </xf>
    <xf numFmtId="0" fontId="6" fillId="34" borderId="17" xfId="0" applyFont="1" applyFill="1" applyBorder="1" applyAlignment="1" applyProtection="1">
      <alignment/>
      <protection/>
    </xf>
    <xf numFmtId="2" fontId="6" fillId="35" borderId="0" xfId="0" applyNumberFormat="1" applyFont="1" applyFill="1" applyBorder="1" applyAlignment="1" applyProtection="1">
      <alignment/>
      <protection locked="0"/>
    </xf>
    <xf numFmtId="2" fontId="6" fillId="35" borderId="0" xfId="0" applyNumberFormat="1" applyFont="1" applyFill="1" applyBorder="1" applyAlignment="1" applyProtection="1">
      <alignment horizontal="right" vertical="top" wrapText="1"/>
      <protection locked="0"/>
    </xf>
    <xf numFmtId="0" fontId="0" fillId="34" borderId="0" xfId="0" applyFont="1" applyFill="1" applyBorder="1" applyAlignment="1" applyProtection="1">
      <alignment/>
      <protection/>
    </xf>
    <xf numFmtId="0" fontId="6" fillId="34" borderId="0" xfId="0" applyFont="1" applyFill="1" applyBorder="1" applyAlignment="1" applyProtection="1">
      <alignment/>
      <protection/>
    </xf>
    <xf numFmtId="0" fontId="5" fillId="34" borderId="0" xfId="0" applyFont="1" applyFill="1" applyBorder="1" applyAlignment="1" applyProtection="1">
      <alignment/>
      <protection/>
    </xf>
    <xf numFmtId="0" fontId="6" fillId="34" borderId="18" xfId="0" applyFont="1" applyFill="1" applyBorder="1" applyAlignment="1" applyProtection="1">
      <alignment/>
      <protection/>
    </xf>
    <xf numFmtId="0" fontId="6" fillId="34" borderId="17" xfId="0" applyFont="1" applyFill="1" applyBorder="1" applyAlignment="1" applyProtection="1">
      <alignment/>
      <protection/>
    </xf>
    <xf numFmtId="3" fontId="3" fillId="34" borderId="0" xfId="0" applyNumberFormat="1" applyFont="1" applyFill="1" applyAlignment="1">
      <alignment/>
    </xf>
    <xf numFmtId="0" fontId="3" fillId="34" borderId="0" xfId="0" applyFont="1" applyFill="1" applyAlignment="1">
      <alignment vertical="center"/>
    </xf>
    <xf numFmtId="0" fontId="3" fillId="34" borderId="0" xfId="0" applyFont="1" applyFill="1" applyBorder="1" applyAlignment="1">
      <alignment vertical="center"/>
    </xf>
    <xf numFmtId="0" fontId="3" fillId="34" borderId="0" xfId="0" applyFont="1" applyFill="1" applyAlignment="1">
      <alignment/>
    </xf>
    <xf numFmtId="0" fontId="6" fillId="34" borderId="0" xfId="0" applyFont="1" applyFill="1" applyBorder="1" applyAlignment="1" applyProtection="1">
      <alignment vertical="center"/>
      <protection/>
    </xf>
    <xf numFmtId="0" fontId="6" fillId="34" borderId="0" xfId="0" applyFont="1" applyFill="1" applyBorder="1" applyAlignment="1" applyProtection="1">
      <alignment/>
      <protection locked="0"/>
    </xf>
    <xf numFmtId="2" fontId="6" fillId="34" borderId="0" xfId="0" applyNumberFormat="1" applyFont="1" applyFill="1" applyBorder="1" applyAlignment="1" applyProtection="1">
      <alignment/>
      <protection locked="0"/>
    </xf>
    <xf numFmtId="0" fontId="0" fillId="34" borderId="0" xfId="0" applyFont="1" applyFill="1" applyBorder="1" applyAlignment="1" applyProtection="1">
      <alignment vertical="center"/>
      <protection/>
    </xf>
    <xf numFmtId="2" fontId="5" fillId="34" borderId="0" xfId="0" applyNumberFormat="1" applyFont="1" applyFill="1" applyBorder="1" applyAlignment="1" applyProtection="1">
      <alignment horizontal="center"/>
      <protection/>
    </xf>
    <xf numFmtId="2" fontId="5" fillId="36" borderId="0" xfId="0" applyNumberFormat="1" applyFont="1" applyFill="1" applyBorder="1" applyAlignment="1" applyProtection="1">
      <alignment horizontal="center"/>
      <protection/>
    </xf>
    <xf numFmtId="0" fontId="5" fillId="0" borderId="0" xfId="0" applyFont="1" applyBorder="1" applyAlignment="1" applyProtection="1">
      <alignment wrapText="1"/>
      <protection/>
    </xf>
    <xf numFmtId="180" fontId="5" fillId="36" borderId="0" xfId="0" applyNumberFormat="1" applyFont="1" applyFill="1" applyBorder="1" applyAlignment="1" applyProtection="1">
      <alignment horizontal="center" vertical="center"/>
      <protection/>
    </xf>
    <xf numFmtId="180" fontId="6" fillId="0" borderId="0" xfId="0" applyNumberFormat="1" applyFont="1" applyBorder="1" applyAlignment="1" applyProtection="1">
      <alignment horizontal="center" vertical="center"/>
      <protection/>
    </xf>
    <xf numFmtId="0" fontId="6" fillId="34" borderId="0" xfId="0" applyFont="1" applyFill="1" applyAlignment="1">
      <alignment/>
    </xf>
    <xf numFmtId="9" fontId="6" fillId="34" borderId="0" xfId="0" applyNumberFormat="1" applyFont="1" applyFill="1" applyAlignment="1">
      <alignment/>
    </xf>
    <xf numFmtId="0" fontId="0" fillId="0" borderId="0" xfId="0" applyFont="1" applyBorder="1" applyAlignment="1" applyProtection="1">
      <alignment/>
      <protection/>
    </xf>
    <xf numFmtId="0" fontId="0" fillId="0" borderId="0" xfId="0" applyFont="1" applyBorder="1" applyAlignment="1" applyProtection="1">
      <alignment/>
      <protection/>
    </xf>
    <xf numFmtId="0" fontId="6" fillId="0" borderId="19" xfId="0" applyFont="1" applyBorder="1" applyAlignment="1" applyProtection="1">
      <alignment/>
      <protection/>
    </xf>
    <xf numFmtId="3" fontId="0" fillId="34" borderId="0" xfId="0" applyNumberFormat="1" applyFont="1" applyFill="1" applyAlignment="1">
      <alignment/>
    </xf>
    <xf numFmtId="2" fontId="6" fillId="34" borderId="0" xfId="0" applyNumberFormat="1" applyFont="1" applyFill="1" applyBorder="1" applyAlignment="1" applyProtection="1">
      <alignment/>
      <protection/>
    </xf>
    <xf numFmtId="0" fontId="0" fillId="34" borderId="0" xfId="0" applyFont="1" applyFill="1" applyBorder="1" applyAlignment="1" applyProtection="1">
      <alignment wrapText="1"/>
      <protection/>
    </xf>
    <xf numFmtId="0" fontId="6" fillId="34" borderId="0" xfId="0" applyFont="1" applyFill="1" applyBorder="1" applyAlignment="1" applyProtection="1">
      <alignment wrapText="1"/>
      <protection/>
    </xf>
    <xf numFmtId="0" fontId="6" fillId="0" borderId="20" xfId="0" applyFont="1" applyBorder="1" applyAlignment="1" applyProtection="1">
      <alignment/>
      <protection/>
    </xf>
    <xf numFmtId="2" fontId="6" fillId="33" borderId="21" xfId="0" applyNumberFormat="1" applyFont="1" applyFill="1" applyBorder="1" applyAlignment="1" applyProtection="1">
      <alignment horizontal="center"/>
      <protection/>
    </xf>
    <xf numFmtId="2" fontId="6" fillId="33" borderId="18" xfId="0" applyNumberFormat="1" applyFont="1" applyFill="1" applyBorder="1" applyAlignment="1" applyProtection="1">
      <alignment horizontal="center"/>
      <protection/>
    </xf>
    <xf numFmtId="2" fontId="6" fillId="33" borderId="14" xfId="0" applyNumberFormat="1" applyFont="1" applyFill="1" applyBorder="1" applyAlignment="1" applyProtection="1">
      <alignment horizontal="center"/>
      <protection/>
    </xf>
    <xf numFmtId="2" fontId="6" fillId="0" borderId="22" xfId="0" applyNumberFormat="1" applyFont="1" applyBorder="1" applyAlignment="1" applyProtection="1">
      <alignment horizontal="center"/>
      <protection/>
    </xf>
    <xf numFmtId="2" fontId="5" fillId="0" borderId="23" xfId="0" applyNumberFormat="1" applyFont="1" applyBorder="1" applyAlignment="1" applyProtection="1">
      <alignment horizontal="center"/>
      <protection/>
    </xf>
    <xf numFmtId="2" fontId="5" fillId="0" borderId="24" xfId="0" applyNumberFormat="1" applyFont="1" applyBorder="1" applyAlignment="1" applyProtection="1">
      <alignment horizontal="center"/>
      <protection/>
    </xf>
    <xf numFmtId="2" fontId="6" fillId="33" borderId="25" xfId="0" applyNumberFormat="1" applyFont="1" applyFill="1" applyBorder="1" applyAlignment="1" applyProtection="1">
      <alignment horizontal="center"/>
      <protection/>
    </xf>
    <xf numFmtId="2" fontId="6" fillId="33" borderId="26" xfId="0" applyNumberFormat="1" applyFont="1" applyFill="1" applyBorder="1" applyAlignment="1" applyProtection="1">
      <alignment horizontal="center"/>
      <protection/>
    </xf>
    <xf numFmtId="0" fontId="3" fillId="34" borderId="0" xfId="0" applyFont="1" applyFill="1" applyBorder="1" applyAlignment="1">
      <alignment vertical="center" wrapText="1"/>
    </xf>
    <xf numFmtId="0" fontId="3" fillId="34" borderId="0" xfId="0" applyFont="1" applyFill="1" applyBorder="1" applyAlignment="1">
      <alignment vertical="center" wrapText="1"/>
    </xf>
    <xf numFmtId="179" fontId="6" fillId="35" borderId="0" xfId="0" applyNumberFormat="1" applyFont="1" applyFill="1" applyBorder="1" applyAlignment="1" applyProtection="1">
      <alignment/>
      <protection locked="0"/>
    </xf>
    <xf numFmtId="0" fontId="4" fillId="37" borderId="27" xfId="54" applyFont="1" applyFill="1" applyBorder="1" applyAlignment="1">
      <alignment vertical="center" readingOrder="1"/>
      <protection/>
    </xf>
    <xf numFmtId="0" fontId="4" fillId="37" borderId="28" xfId="54" applyFont="1" applyFill="1" applyBorder="1" applyAlignment="1">
      <alignment vertical="center" readingOrder="1"/>
      <protection/>
    </xf>
    <xf numFmtId="0" fontId="3" fillId="37" borderId="29" xfId="0" applyFont="1" applyFill="1" applyBorder="1" applyAlignment="1">
      <alignment vertical="center"/>
    </xf>
    <xf numFmtId="0" fontId="3" fillId="37" borderId="29" xfId="0" applyFont="1" applyFill="1" applyBorder="1" applyAlignment="1">
      <alignment vertical="center" wrapText="1"/>
    </xf>
    <xf numFmtId="0" fontId="5" fillId="37" borderId="30" xfId="54" applyFont="1" applyFill="1" applyBorder="1" applyAlignment="1">
      <alignment vertical="center" readingOrder="1"/>
      <protection/>
    </xf>
    <xf numFmtId="0" fontId="1" fillId="34" borderId="0" xfId="48" applyFill="1" applyBorder="1" applyAlignment="1" applyProtection="1">
      <alignment vertical="center"/>
      <protection/>
    </xf>
    <xf numFmtId="0" fontId="4" fillId="34" borderId="0" xfId="0" applyFont="1" applyFill="1" applyAlignment="1">
      <alignment/>
    </xf>
    <xf numFmtId="0" fontId="3" fillId="34" borderId="0" xfId="0" applyFont="1" applyFill="1" applyAlignment="1">
      <alignment horizontal="left" wrapText="1"/>
    </xf>
    <xf numFmtId="0" fontId="0" fillId="34" borderId="0" xfId="0" applyFill="1" applyAlignment="1">
      <alignment/>
    </xf>
    <xf numFmtId="0" fontId="3" fillId="0" borderId="0" xfId="0" applyFont="1" applyAlignment="1">
      <alignment horizontal="left" wrapText="1"/>
    </xf>
    <xf numFmtId="0" fontId="0" fillId="34" borderId="0" xfId="0" applyFont="1" applyFill="1" applyAlignment="1">
      <alignment/>
    </xf>
    <xf numFmtId="0" fontId="0" fillId="0" borderId="12" xfId="0" applyFont="1" applyBorder="1" applyAlignment="1">
      <alignment horizontal="left" wrapText="1"/>
    </xf>
    <xf numFmtId="0" fontId="3" fillId="34" borderId="0" xfId="0" applyFont="1" applyFill="1" applyBorder="1" applyAlignment="1">
      <alignment horizontal="left" wrapText="1"/>
    </xf>
    <xf numFmtId="0" fontId="3" fillId="34" borderId="0" xfId="0" applyFont="1" applyFill="1" applyAlignment="1">
      <alignment horizontal="justify"/>
    </xf>
    <xf numFmtId="0" fontId="4" fillId="34" borderId="0" xfId="0" applyFont="1" applyFill="1" applyAlignment="1">
      <alignment horizontal="left" wrapText="1"/>
    </xf>
    <xf numFmtId="0" fontId="3" fillId="34" borderId="0" xfId="0" applyFont="1" applyFill="1" applyAlignment="1">
      <alignment wrapText="1"/>
    </xf>
    <xf numFmtId="0" fontId="4" fillId="34" borderId="0" xfId="54" applyFont="1" applyFill="1" applyBorder="1" applyAlignment="1">
      <alignment vertical="center" readingOrder="1"/>
      <protection/>
    </xf>
    <xf numFmtId="0" fontId="4" fillId="38" borderId="31" xfId="54" applyFont="1" applyFill="1" applyBorder="1" applyAlignment="1">
      <alignment vertical="center" readingOrder="1"/>
      <protection/>
    </xf>
    <xf numFmtId="0" fontId="4" fillId="38" borderId="27" xfId="54" applyFont="1" applyFill="1" applyBorder="1" applyAlignment="1">
      <alignment vertical="center" readingOrder="1"/>
      <protection/>
    </xf>
    <xf numFmtId="0" fontId="5" fillId="38" borderId="14" xfId="54" applyFont="1" applyFill="1" applyBorder="1" applyAlignment="1">
      <alignment vertical="center" readingOrder="1"/>
      <protection/>
    </xf>
    <xf numFmtId="0" fontId="4" fillId="38" borderId="15" xfId="54" applyFont="1" applyFill="1" applyBorder="1" applyAlignment="1">
      <alignment vertical="center" readingOrder="1"/>
      <protection/>
    </xf>
    <xf numFmtId="0" fontId="3" fillId="38" borderId="21" xfId="54" applyFont="1" applyFill="1" applyBorder="1" applyAlignment="1">
      <alignment vertical="center" readingOrder="1"/>
      <protection/>
    </xf>
    <xf numFmtId="0" fontId="4" fillId="38" borderId="17" xfId="54" applyFont="1" applyFill="1" applyBorder="1" applyAlignment="1">
      <alignment vertical="center" readingOrder="1"/>
      <protection/>
    </xf>
    <xf numFmtId="0" fontId="4" fillId="38" borderId="16" xfId="54" applyFont="1" applyFill="1" applyBorder="1" applyAlignment="1">
      <alignment vertical="center" readingOrder="1"/>
      <protection/>
    </xf>
    <xf numFmtId="180" fontId="6" fillId="0" borderId="15" xfId="0" applyNumberFormat="1" applyFont="1" applyBorder="1" applyAlignment="1" applyProtection="1">
      <alignment horizontal="center" vertical="center"/>
      <protection/>
    </xf>
    <xf numFmtId="2" fontId="6" fillId="34" borderId="0" xfId="0" applyNumberFormat="1" applyFont="1" applyFill="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3" fillId="0" borderId="0" xfId="0" applyFont="1" applyAlignment="1">
      <alignment horizontal="justify" vertical="center"/>
    </xf>
    <xf numFmtId="0" fontId="3" fillId="0" borderId="0" xfId="0" applyFont="1" applyAlignment="1">
      <alignment vertical="top" wrapText="1"/>
    </xf>
    <xf numFmtId="0" fontId="4" fillId="34" borderId="0" xfId="0" applyFont="1" applyFill="1" applyAlignment="1">
      <alignment wrapText="1"/>
    </xf>
    <xf numFmtId="0" fontId="11" fillId="34" borderId="0" xfId="0" applyFont="1" applyFill="1" applyBorder="1" applyAlignment="1" applyProtection="1">
      <alignment/>
      <protection/>
    </xf>
    <xf numFmtId="2" fontId="6" fillId="36" borderId="0" xfId="0" applyNumberFormat="1" applyFont="1" applyFill="1" applyBorder="1" applyAlignment="1" applyProtection="1">
      <alignment horizontal="center"/>
      <protection/>
    </xf>
    <xf numFmtId="2" fontId="6" fillId="34" borderId="0" xfId="0" applyNumberFormat="1" applyFont="1" applyFill="1" applyBorder="1" applyAlignment="1" applyProtection="1">
      <alignment horizontal="center"/>
      <protection/>
    </xf>
    <xf numFmtId="0" fontId="6" fillId="0" borderId="0" xfId="0" applyFont="1" applyAlignment="1">
      <alignment/>
    </xf>
    <xf numFmtId="0" fontId="6" fillId="34" borderId="0" xfId="0" applyFont="1" applyFill="1" applyBorder="1" applyAlignment="1" applyProtection="1">
      <alignment horizontal="left" vertical="center"/>
      <protection/>
    </xf>
    <xf numFmtId="0" fontId="10" fillId="34" borderId="0" xfId="48" applyFont="1" applyFill="1" applyBorder="1" applyAlignment="1" applyProtection="1">
      <alignment vertical="center"/>
      <protection/>
    </xf>
    <xf numFmtId="0" fontId="10" fillId="34" borderId="0" xfId="0" applyFont="1" applyFill="1" applyBorder="1" applyAlignment="1" applyProtection="1">
      <alignment vertical="center"/>
      <protection/>
    </xf>
    <xf numFmtId="0" fontId="10" fillId="34" borderId="0" xfId="0" applyFont="1" applyFill="1" applyBorder="1" applyAlignment="1" applyProtection="1">
      <alignment/>
      <protection/>
    </xf>
    <xf numFmtId="0" fontId="6" fillId="34" borderId="32" xfId="0" applyFont="1" applyFill="1" applyBorder="1" applyAlignment="1" applyProtection="1">
      <alignment vertical="top"/>
      <protection/>
    </xf>
    <xf numFmtId="0" fontId="3" fillId="34" borderId="32" xfId="0" applyFont="1" applyFill="1" applyBorder="1" applyAlignment="1">
      <alignment vertical="center"/>
    </xf>
    <xf numFmtId="0" fontId="0" fillId="34" borderId="32" xfId="0" applyFont="1" applyFill="1" applyBorder="1" applyAlignment="1" applyProtection="1">
      <alignment/>
      <protection/>
    </xf>
    <xf numFmtId="0" fontId="6" fillId="34" borderId="32" xfId="0" applyFont="1" applyFill="1" applyBorder="1" applyAlignment="1" applyProtection="1">
      <alignment horizontal="left" vertical="center" wrapText="1"/>
      <protection/>
    </xf>
    <xf numFmtId="0" fontId="3" fillId="34" borderId="18" xfId="0" applyFont="1" applyFill="1" applyBorder="1" applyAlignment="1">
      <alignment vertical="center"/>
    </xf>
    <xf numFmtId="0" fontId="3" fillId="37" borderId="33" xfId="0" applyFont="1" applyFill="1" applyBorder="1" applyAlignment="1">
      <alignment vertical="center" wrapText="1"/>
    </xf>
    <xf numFmtId="0" fontId="3" fillId="34" borderId="18" xfId="0" applyFont="1" applyFill="1" applyBorder="1" applyAlignment="1">
      <alignment vertical="center" wrapText="1"/>
    </xf>
    <xf numFmtId="0" fontId="6" fillId="34" borderId="18" xfId="0" applyFont="1" applyFill="1" applyBorder="1" applyAlignment="1" applyProtection="1">
      <alignment vertical="center"/>
      <protection/>
    </xf>
    <xf numFmtId="0" fontId="0" fillId="34" borderId="18" xfId="0" applyFont="1" applyFill="1" applyBorder="1" applyAlignment="1" applyProtection="1">
      <alignment vertical="center"/>
      <protection/>
    </xf>
    <xf numFmtId="0" fontId="0" fillId="34" borderId="18" xfId="0" applyFont="1" applyFill="1" applyBorder="1" applyAlignment="1" applyProtection="1">
      <alignment/>
      <protection/>
    </xf>
    <xf numFmtId="0" fontId="3" fillId="0" borderId="26" xfId="0" applyFont="1" applyFill="1" applyBorder="1" applyAlignment="1">
      <alignment vertical="center"/>
    </xf>
    <xf numFmtId="0" fontId="3" fillId="0" borderId="18" xfId="0" applyFont="1" applyFill="1" applyBorder="1" applyAlignment="1">
      <alignment vertical="center"/>
    </xf>
    <xf numFmtId="0" fontId="6" fillId="39" borderId="10" xfId="0" applyFont="1" applyFill="1" applyBorder="1" applyAlignment="1" applyProtection="1">
      <alignment horizontal="center"/>
      <protection/>
    </xf>
    <xf numFmtId="2" fontId="6" fillId="39" borderId="13" xfId="0" applyNumberFormat="1" applyFont="1" applyFill="1" applyBorder="1" applyAlignment="1" applyProtection="1">
      <alignment horizontal="center"/>
      <protection/>
    </xf>
    <xf numFmtId="2" fontId="6" fillId="39" borderId="12" xfId="0" applyNumberFormat="1" applyFont="1" applyFill="1" applyBorder="1" applyAlignment="1" applyProtection="1">
      <alignment horizontal="center"/>
      <protection/>
    </xf>
    <xf numFmtId="2" fontId="6" fillId="39" borderId="22" xfId="0" applyNumberFormat="1" applyFont="1" applyFill="1" applyBorder="1" applyAlignment="1" applyProtection="1">
      <alignment horizontal="center"/>
      <protection/>
    </xf>
    <xf numFmtId="2" fontId="5" fillId="39" borderId="23" xfId="0" applyNumberFormat="1" applyFont="1" applyFill="1" applyBorder="1" applyAlignment="1" applyProtection="1">
      <alignment horizontal="center"/>
      <protection/>
    </xf>
    <xf numFmtId="180" fontId="5" fillId="39" borderId="27" xfId="0" applyNumberFormat="1" applyFont="1" applyFill="1" applyBorder="1" applyAlignment="1" applyProtection="1">
      <alignment horizontal="center"/>
      <protection/>
    </xf>
    <xf numFmtId="0" fontId="6" fillId="39" borderId="34" xfId="0" applyFont="1" applyFill="1" applyBorder="1" applyAlignment="1" applyProtection="1">
      <alignment horizontal="center"/>
      <protection/>
    </xf>
    <xf numFmtId="2" fontId="5" fillId="39" borderId="35" xfId="0" applyNumberFormat="1" applyFont="1" applyFill="1" applyBorder="1" applyAlignment="1" applyProtection="1">
      <alignment horizontal="center"/>
      <protection/>
    </xf>
    <xf numFmtId="0" fontId="6" fillId="34" borderId="18" xfId="0" applyFont="1" applyFill="1" applyBorder="1" applyAlignment="1" applyProtection="1">
      <alignment horizontal="left" vertical="center" wrapText="1"/>
      <protection/>
    </xf>
    <xf numFmtId="0" fontId="6" fillId="34" borderId="0"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0" fillId="34" borderId="0" xfId="0" applyFont="1" applyFill="1" applyBorder="1" applyAlignment="1" applyProtection="1">
      <alignment/>
      <protection locked="0"/>
    </xf>
    <xf numFmtId="0" fontId="0" fillId="0" borderId="0" xfId="0" applyAlignment="1" applyProtection="1">
      <alignment/>
      <protection locked="0"/>
    </xf>
    <xf numFmtId="0" fontId="45" fillId="0" borderId="0" xfId="0" applyFont="1" applyFill="1" applyBorder="1" applyAlignment="1" applyProtection="1">
      <alignment vertical="center"/>
      <protection/>
    </xf>
    <xf numFmtId="0" fontId="61" fillId="0" borderId="0" xfId="0" applyFont="1" applyFill="1" applyAlignment="1">
      <alignment vertical="center"/>
    </xf>
    <xf numFmtId="2" fontId="45" fillId="0" borderId="0" xfId="0" applyNumberFormat="1" applyFont="1" applyFill="1" applyBorder="1" applyAlignment="1" applyProtection="1">
      <alignment vertical="center"/>
      <protection/>
    </xf>
    <xf numFmtId="2" fontId="6" fillId="34" borderId="0" xfId="0" applyNumberFormat="1" applyFont="1" applyFill="1" applyAlignment="1" applyProtection="1">
      <alignment/>
      <protection locked="0"/>
    </xf>
    <xf numFmtId="0" fontId="6" fillId="34" borderId="18" xfId="0" applyFont="1" applyFill="1" applyBorder="1" applyAlignment="1" applyProtection="1">
      <alignment horizontal="left" vertical="center" wrapText="1"/>
      <protection/>
    </xf>
    <xf numFmtId="0" fontId="6" fillId="34" borderId="0"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0" fontId="3" fillId="34" borderId="0" xfId="0" applyFont="1" applyFill="1" applyBorder="1" applyAlignment="1">
      <alignment vertical="center" wrapText="1"/>
    </xf>
    <xf numFmtId="0" fontId="6" fillId="34" borderId="0" xfId="0" applyFont="1" applyFill="1" applyBorder="1" applyAlignment="1" applyProtection="1">
      <alignment horizontal="center"/>
      <protection/>
    </xf>
    <xf numFmtId="0" fontId="6" fillId="34" borderId="32" xfId="0" applyFont="1" applyFill="1" applyBorder="1" applyAlignment="1" applyProtection="1">
      <alignment horizontal="left" vertical="center" wrapText="1"/>
      <protection/>
    </xf>
    <xf numFmtId="0" fontId="62" fillId="34" borderId="0" xfId="48" applyFont="1" applyFill="1" applyBorder="1" applyAlignment="1" applyProtection="1">
      <alignment/>
      <protection/>
    </xf>
    <xf numFmtId="49" fontId="6" fillId="35" borderId="0" xfId="0" applyNumberFormat="1" applyFont="1" applyFill="1" applyBorder="1" applyAlignment="1" applyProtection="1">
      <alignment/>
      <protection locked="0"/>
    </xf>
    <xf numFmtId="0" fontId="3" fillId="33" borderId="0" xfId="0" applyFont="1" applyFill="1" applyBorder="1" applyAlignment="1">
      <alignment vertical="center"/>
    </xf>
    <xf numFmtId="0" fontId="3" fillId="33" borderId="0" xfId="0" applyFont="1" applyFill="1" applyBorder="1" applyAlignment="1">
      <alignment vertical="center" wrapText="1"/>
    </xf>
    <xf numFmtId="0" fontId="3" fillId="0" borderId="0" xfId="0" applyFont="1" applyFill="1" applyBorder="1" applyAlignment="1">
      <alignment vertical="center"/>
    </xf>
    <xf numFmtId="0" fontId="4" fillId="40" borderId="36" xfId="54" applyFont="1" applyFill="1" applyBorder="1" applyAlignment="1">
      <alignment vertical="center" readingOrder="1"/>
      <protection/>
    </xf>
    <xf numFmtId="0" fontId="4" fillId="40" borderId="37" xfId="54" applyFont="1" applyFill="1" applyBorder="1" applyAlignment="1">
      <alignment vertical="center" readingOrder="1"/>
      <protection/>
    </xf>
    <xf numFmtId="0" fontId="4" fillId="40" borderId="38" xfId="54" applyFont="1" applyFill="1" applyBorder="1" applyAlignment="1">
      <alignment vertical="center" readingOrder="1"/>
      <protection/>
    </xf>
    <xf numFmtId="0" fontId="3" fillId="40" borderId="39" xfId="0" applyFont="1" applyFill="1" applyBorder="1" applyAlignment="1">
      <alignment vertical="center"/>
    </xf>
    <xf numFmtId="0" fontId="3" fillId="40" borderId="39" xfId="0" applyFont="1" applyFill="1" applyBorder="1" applyAlignment="1">
      <alignment vertical="center" wrapText="1"/>
    </xf>
    <xf numFmtId="0" fontId="3" fillId="33" borderId="0" xfId="0" applyFont="1" applyFill="1" applyBorder="1" applyAlignment="1">
      <alignment/>
    </xf>
    <xf numFmtId="3" fontId="3" fillId="33" borderId="0" xfId="0" applyNumberFormat="1" applyFont="1" applyFill="1" applyBorder="1" applyAlignment="1">
      <alignment/>
    </xf>
    <xf numFmtId="0" fontId="63" fillId="0" borderId="0" xfId="0" applyFont="1" applyFill="1" applyBorder="1" applyAlignment="1">
      <alignment vertical="center"/>
    </xf>
    <xf numFmtId="0" fontId="5" fillId="33" borderId="0" xfId="0" applyFont="1" applyFill="1" applyBorder="1" applyAlignment="1" applyProtection="1">
      <alignment/>
      <protection/>
    </xf>
    <xf numFmtId="0" fontId="0" fillId="33" borderId="0" xfId="0" applyFont="1" applyFill="1" applyBorder="1" applyAlignment="1" applyProtection="1">
      <alignment/>
      <protection/>
    </xf>
    <xf numFmtId="0" fontId="13" fillId="33" borderId="0" xfId="0" applyFont="1" applyFill="1" applyBorder="1" applyAlignment="1" applyProtection="1">
      <alignment/>
      <protection/>
    </xf>
    <xf numFmtId="0" fontId="6" fillId="33" borderId="0" xfId="0" applyFont="1" applyFill="1" applyBorder="1" applyAlignment="1" applyProtection="1">
      <alignment/>
      <protection/>
    </xf>
    <xf numFmtId="0" fontId="6" fillId="33" borderId="0" xfId="0" applyFont="1" applyFill="1" applyBorder="1" applyAlignment="1" applyProtection="1">
      <alignment vertical="center"/>
      <protection/>
    </xf>
    <xf numFmtId="0" fontId="64" fillId="0" borderId="0" xfId="0" applyFont="1" applyFill="1" applyBorder="1" applyAlignment="1" applyProtection="1">
      <alignment vertical="center"/>
      <protection/>
    </xf>
    <xf numFmtId="0" fontId="6" fillId="33" borderId="18" xfId="0" applyFont="1" applyFill="1" applyBorder="1" applyAlignment="1" applyProtection="1">
      <alignment/>
      <protection/>
    </xf>
    <xf numFmtId="0" fontId="6" fillId="33" borderId="17" xfId="0" applyFont="1" applyFill="1" applyBorder="1" applyAlignment="1" applyProtection="1">
      <alignment/>
      <protection/>
    </xf>
    <xf numFmtId="0" fontId="6" fillId="0" borderId="11" xfId="0" applyFont="1" applyFill="1" applyBorder="1" applyAlignment="1" applyProtection="1">
      <alignment horizontal="center"/>
      <protection/>
    </xf>
    <xf numFmtId="0" fontId="6" fillId="41" borderId="34" xfId="0" applyFont="1" applyFill="1" applyBorder="1" applyAlignment="1" applyProtection="1">
      <alignment horizontal="center"/>
      <protection/>
    </xf>
    <xf numFmtId="0" fontId="6" fillId="0" borderId="12" xfId="0" applyFont="1" applyFill="1" applyBorder="1" applyAlignment="1" applyProtection="1">
      <alignment/>
      <protection/>
    </xf>
    <xf numFmtId="2" fontId="6" fillId="0" borderId="13" xfId="0" applyNumberFormat="1" applyFont="1" applyFill="1" applyBorder="1" applyAlignment="1" applyProtection="1">
      <alignment horizontal="center"/>
      <protection/>
    </xf>
    <xf numFmtId="2" fontId="6" fillId="41" borderId="13" xfId="0" applyNumberFormat="1" applyFont="1" applyFill="1" applyBorder="1" applyAlignment="1" applyProtection="1">
      <alignment horizontal="center"/>
      <protection/>
    </xf>
    <xf numFmtId="0" fontId="0" fillId="33" borderId="0" xfId="0" applyFont="1" applyFill="1" applyBorder="1" applyAlignment="1" applyProtection="1">
      <alignment wrapText="1"/>
      <protection/>
    </xf>
    <xf numFmtId="0" fontId="6" fillId="33" borderId="12" xfId="0" applyFont="1" applyFill="1" applyBorder="1" applyAlignment="1" applyProtection="1">
      <alignment/>
      <protection/>
    </xf>
    <xf numFmtId="2" fontId="6" fillId="0" borderId="12" xfId="0" applyNumberFormat="1" applyFont="1" applyFill="1" applyBorder="1" applyAlignment="1" applyProtection="1">
      <alignment horizontal="center"/>
      <protection/>
    </xf>
    <xf numFmtId="2" fontId="6" fillId="41" borderId="18" xfId="0" applyNumberFormat="1" applyFont="1" applyFill="1" applyBorder="1" applyAlignment="1" applyProtection="1">
      <alignment horizontal="center"/>
      <protection/>
    </xf>
    <xf numFmtId="2" fontId="6" fillId="41" borderId="12" xfId="0" applyNumberFormat="1" applyFont="1" applyFill="1" applyBorder="1" applyAlignment="1" applyProtection="1">
      <alignment horizontal="center"/>
      <protection/>
    </xf>
    <xf numFmtId="0" fontId="6" fillId="33" borderId="0" xfId="0" applyFont="1" applyFill="1" applyBorder="1" applyAlignment="1" applyProtection="1">
      <alignment wrapText="1"/>
      <protection/>
    </xf>
    <xf numFmtId="0" fontId="6" fillId="33" borderId="0" xfId="0" applyFont="1" applyFill="1" applyBorder="1" applyAlignment="1" applyProtection="1">
      <alignment/>
      <protection locked="0"/>
    </xf>
    <xf numFmtId="0" fontId="6" fillId="0" borderId="13" xfId="0" applyFont="1" applyFill="1" applyBorder="1" applyAlignment="1" applyProtection="1">
      <alignment/>
      <protection/>
    </xf>
    <xf numFmtId="2" fontId="5" fillId="0" borderId="12" xfId="0" applyNumberFormat="1" applyFont="1" applyFill="1" applyBorder="1" applyAlignment="1" applyProtection="1">
      <alignment horizontal="center"/>
      <protection/>
    </xf>
    <xf numFmtId="2" fontId="5" fillId="41" borderId="12" xfId="0" applyNumberFormat="1" applyFont="1" applyFill="1" applyBorder="1" applyAlignment="1" applyProtection="1">
      <alignment horizontal="center"/>
      <protection/>
    </xf>
    <xf numFmtId="0" fontId="0" fillId="33" borderId="40" xfId="0" applyFont="1" applyFill="1" applyBorder="1" applyAlignment="1" applyProtection="1">
      <alignment/>
      <protection/>
    </xf>
    <xf numFmtId="0" fontId="6" fillId="0" borderId="40" xfId="0" applyFont="1" applyFill="1" applyBorder="1" applyAlignment="1" applyProtection="1">
      <alignment/>
      <protection/>
    </xf>
    <xf numFmtId="0" fontId="6" fillId="33" borderId="40" xfId="0" applyFont="1" applyFill="1" applyBorder="1" applyAlignment="1" applyProtection="1">
      <alignment/>
      <protection/>
    </xf>
    <xf numFmtId="0" fontId="6" fillId="33" borderId="40" xfId="0" applyFont="1" applyFill="1" applyBorder="1" applyAlignment="1" applyProtection="1">
      <alignment vertical="center"/>
      <protection/>
    </xf>
    <xf numFmtId="0" fontId="0" fillId="33" borderId="41" xfId="0" applyFont="1" applyFill="1" applyBorder="1" applyAlignment="1" applyProtection="1">
      <alignment/>
      <protection/>
    </xf>
    <xf numFmtId="0" fontId="13" fillId="33" borderId="42" xfId="0" applyFont="1" applyFill="1" applyBorder="1" applyAlignment="1" applyProtection="1">
      <alignment/>
      <protection/>
    </xf>
    <xf numFmtId="0" fontId="6" fillId="33" borderId="42" xfId="0" applyFont="1" applyFill="1" applyBorder="1" applyAlignment="1" applyProtection="1">
      <alignment/>
      <protection/>
    </xf>
    <xf numFmtId="0" fontId="6" fillId="33" borderId="42" xfId="0" applyFont="1" applyFill="1" applyBorder="1" applyAlignment="1" applyProtection="1">
      <alignment vertical="center"/>
      <protection/>
    </xf>
    <xf numFmtId="0" fontId="0" fillId="33" borderId="43" xfId="0" applyFont="1" applyFill="1" applyBorder="1" applyAlignment="1" applyProtection="1">
      <alignment/>
      <protection/>
    </xf>
    <xf numFmtId="0" fontId="6" fillId="33" borderId="0" xfId="0" applyFont="1" applyFill="1" applyBorder="1" applyAlignment="1" applyProtection="1">
      <alignment horizontal="center"/>
      <protection/>
    </xf>
    <xf numFmtId="2" fontId="6" fillId="33" borderId="0" xfId="0" applyNumberFormat="1" applyFont="1" applyFill="1" applyBorder="1" applyAlignment="1" applyProtection="1">
      <alignment/>
      <protection/>
    </xf>
    <xf numFmtId="2" fontId="6" fillId="33" borderId="0" xfId="0" applyNumberFormat="1" applyFont="1" applyFill="1" applyBorder="1" applyAlignment="1" applyProtection="1">
      <alignment/>
      <protection locked="0"/>
    </xf>
    <xf numFmtId="0" fontId="14" fillId="33" borderId="0" xfId="0" applyFont="1" applyFill="1" applyBorder="1" applyAlignment="1" applyProtection="1">
      <alignment/>
      <protection/>
    </xf>
    <xf numFmtId="0" fontId="6" fillId="0" borderId="16" xfId="0" applyFont="1" applyFill="1" applyBorder="1" applyAlignment="1" applyProtection="1">
      <alignment horizontal="center"/>
      <protection/>
    </xf>
    <xf numFmtId="0" fontId="6" fillId="41" borderId="17" xfId="0" applyFont="1" applyFill="1" applyBorder="1" applyAlignment="1" applyProtection="1">
      <alignment horizontal="center"/>
      <protection/>
    </xf>
    <xf numFmtId="3" fontId="3" fillId="33" borderId="13" xfId="0" applyNumberFormat="1" applyFont="1" applyFill="1" applyBorder="1" applyAlignment="1">
      <alignment/>
    </xf>
    <xf numFmtId="4" fontId="6" fillId="0" borderId="13" xfId="0" applyNumberFormat="1" applyFont="1" applyFill="1" applyBorder="1" applyAlignment="1" applyProtection="1">
      <alignment horizontal="center"/>
      <protection/>
    </xf>
    <xf numFmtId="4" fontId="6" fillId="41" borderId="13" xfId="0" applyNumberFormat="1" applyFont="1" applyFill="1" applyBorder="1" applyAlignment="1" applyProtection="1">
      <alignment horizontal="center"/>
      <protection/>
    </xf>
    <xf numFmtId="3" fontId="3" fillId="33" borderId="12" xfId="0" applyNumberFormat="1" applyFont="1" applyFill="1" applyBorder="1" applyAlignment="1">
      <alignment/>
    </xf>
    <xf numFmtId="2" fontId="64" fillId="0" borderId="0" xfId="0" applyNumberFormat="1" applyFont="1" applyFill="1" applyBorder="1" applyAlignment="1" applyProtection="1">
      <alignment vertical="center"/>
      <protection/>
    </xf>
    <xf numFmtId="4" fontId="3" fillId="33" borderId="0" xfId="0" applyNumberFormat="1" applyFont="1" applyFill="1" applyBorder="1" applyAlignment="1">
      <alignment/>
    </xf>
    <xf numFmtId="4" fontId="6" fillId="33" borderId="0" xfId="0" applyNumberFormat="1" applyFont="1" applyFill="1" applyBorder="1" applyAlignment="1" applyProtection="1">
      <alignment vertical="center"/>
      <protection/>
    </xf>
    <xf numFmtId="0" fontId="6" fillId="0" borderId="14" xfId="0" applyFont="1" applyFill="1" applyBorder="1" applyAlignment="1" applyProtection="1">
      <alignment/>
      <protection/>
    </xf>
    <xf numFmtId="0" fontId="3" fillId="33" borderId="27" xfId="0" applyFont="1" applyFill="1" applyBorder="1" applyAlignment="1">
      <alignment/>
    </xf>
    <xf numFmtId="4" fontId="6" fillId="0" borderId="12" xfId="0" applyNumberFormat="1" applyFont="1" applyFill="1" applyBorder="1" applyAlignment="1" applyProtection="1">
      <alignment horizontal="center"/>
      <protection/>
    </xf>
    <xf numFmtId="4" fontId="6" fillId="41" borderId="12" xfId="0" applyNumberFormat="1" applyFont="1" applyFill="1" applyBorder="1" applyAlignment="1" applyProtection="1">
      <alignment horizontal="center"/>
      <protection/>
    </xf>
    <xf numFmtId="0" fontId="6" fillId="33" borderId="0" xfId="0" applyFont="1" applyFill="1" applyBorder="1" applyAlignment="1">
      <alignment/>
    </xf>
    <xf numFmtId="9" fontId="6" fillId="33" borderId="0" xfId="0" applyNumberFormat="1" applyFont="1" applyFill="1" applyBorder="1" applyAlignment="1">
      <alignment/>
    </xf>
    <xf numFmtId="2" fontId="6" fillId="33" borderId="0" xfId="0" applyNumberFormat="1" applyFont="1" applyFill="1" applyBorder="1" applyAlignment="1">
      <alignment/>
    </xf>
    <xf numFmtId="3" fontId="0" fillId="33" borderId="0" xfId="0" applyNumberFormat="1" applyFont="1" applyFill="1" applyBorder="1" applyAlignment="1">
      <alignment/>
    </xf>
    <xf numFmtId="0" fontId="3" fillId="33" borderId="43" xfId="0" applyFont="1" applyFill="1" applyBorder="1" applyAlignment="1">
      <alignment/>
    </xf>
    <xf numFmtId="3" fontId="3" fillId="33" borderId="43" xfId="0" applyNumberFormat="1" applyFont="1" applyFill="1" applyBorder="1" applyAlignment="1">
      <alignment/>
    </xf>
    <xf numFmtId="4" fontId="6" fillId="0" borderId="24" xfId="0" applyNumberFormat="1" applyFont="1" applyFill="1" applyBorder="1" applyAlignment="1" applyProtection="1">
      <alignment horizontal="center"/>
      <protection/>
    </xf>
    <xf numFmtId="4" fontId="6" fillId="41" borderId="35" xfId="0" applyNumberFormat="1" applyFont="1" applyFill="1" applyBorder="1" applyAlignment="1" applyProtection="1">
      <alignment horizontal="center"/>
      <protection/>
    </xf>
    <xf numFmtId="0" fontId="5" fillId="0" borderId="14" xfId="0" applyFont="1" applyFill="1" applyBorder="1" applyAlignment="1" applyProtection="1">
      <alignment/>
      <protection/>
    </xf>
    <xf numFmtId="0" fontId="6" fillId="33" borderId="0" xfId="0" applyFont="1" applyFill="1" applyBorder="1" applyAlignment="1" applyProtection="1">
      <alignment horizontal="left" wrapText="1"/>
      <protection/>
    </xf>
    <xf numFmtId="0" fontId="5" fillId="33" borderId="0" xfId="0" applyFont="1" applyFill="1" applyBorder="1" applyAlignment="1">
      <alignment vertical="top"/>
    </xf>
    <xf numFmtId="0" fontId="4" fillId="33" borderId="0" xfId="0" applyFont="1" applyFill="1" applyBorder="1" applyAlignment="1">
      <alignment vertical="top"/>
    </xf>
    <xf numFmtId="4" fontId="0" fillId="34" borderId="0" xfId="0" applyNumberFormat="1" applyFont="1" applyFill="1" applyBorder="1" applyAlignment="1" applyProtection="1">
      <alignment vertical="center"/>
      <protection/>
    </xf>
    <xf numFmtId="0" fontId="17" fillId="33" borderId="0" xfId="48" applyFont="1" applyFill="1" applyBorder="1" applyAlignment="1" applyProtection="1">
      <alignment/>
      <protection/>
    </xf>
    <xf numFmtId="0" fontId="4" fillId="34" borderId="25" xfId="0" applyFont="1" applyFill="1" applyBorder="1" applyAlignment="1" applyProtection="1">
      <alignment vertical="center"/>
      <protection locked="0"/>
    </xf>
    <xf numFmtId="0" fontId="3" fillId="34" borderId="32" xfId="0" applyFont="1" applyFill="1" applyBorder="1" applyAlignment="1" applyProtection="1">
      <alignment vertical="center" wrapText="1"/>
      <protection locked="0"/>
    </xf>
    <xf numFmtId="0" fontId="3" fillId="34" borderId="26" xfId="0" applyFont="1" applyFill="1" applyBorder="1" applyAlignment="1" applyProtection="1">
      <alignment vertical="center" wrapText="1"/>
      <protection locked="0"/>
    </xf>
    <xf numFmtId="0" fontId="3" fillId="34" borderId="21" xfId="0" applyFont="1" applyFill="1" applyBorder="1" applyAlignment="1" applyProtection="1">
      <alignment vertical="center"/>
      <protection locked="0"/>
    </xf>
    <xf numFmtId="0" fontId="3" fillId="34" borderId="0" xfId="0" applyFont="1" applyFill="1" applyBorder="1" applyAlignment="1" applyProtection="1">
      <alignment vertical="center" wrapText="1"/>
      <protection locked="0"/>
    </xf>
    <xf numFmtId="0" fontId="3" fillId="34" borderId="18" xfId="0" applyFont="1" applyFill="1" applyBorder="1" applyAlignment="1" applyProtection="1">
      <alignment vertical="center" wrapText="1"/>
      <protection locked="0"/>
    </xf>
    <xf numFmtId="0" fontId="3" fillId="34" borderId="16" xfId="0" applyFont="1" applyFill="1" applyBorder="1" applyAlignment="1" applyProtection="1">
      <alignment vertical="center"/>
      <protection locked="0"/>
    </xf>
    <xf numFmtId="0" fontId="3" fillId="34" borderId="31" xfId="0" applyFont="1" applyFill="1" applyBorder="1" applyAlignment="1" applyProtection="1">
      <alignment vertical="center" wrapText="1"/>
      <protection locked="0"/>
    </xf>
    <xf numFmtId="0" fontId="3" fillId="34" borderId="17" xfId="0" applyFont="1" applyFill="1" applyBorder="1" applyAlignment="1" applyProtection="1">
      <alignment vertical="center" wrapText="1"/>
      <protection locked="0"/>
    </xf>
    <xf numFmtId="0" fontId="17" fillId="34" borderId="0" xfId="48" applyFont="1" applyFill="1" applyBorder="1" applyAlignment="1" applyProtection="1">
      <alignment/>
      <protection/>
    </xf>
    <xf numFmtId="0" fontId="0" fillId="33" borderId="0" xfId="0" applyFont="1" applyFill="1" applyBorder="1" applyAlignment="1" applyProtection="1">
      <alignment/>
      <protection locked="0"/>
    </xf>
    <xf numFmtId="49" fontId="0" fillId="35" borderId="0" xfId="0" applyNumberFormat="1" applyFont="1" applyFill="1" applyBorder="1" applyAlignment="1" applyProtection="1">
      <alignment horizontal="left" wrapText="1"/>
      <protection locked="0"/>
    </xf>
    <xf numFmtId="0" fontId="1" fillId="42" borderId="44" xfId="48" applyFill="1" applyBorder="1" applyAlignment="1" applyProtection="1">
      <alignment vertical="center"/>
      <protection/>
    </xf>
    <xf numFmtId="0" fontId="3" fillId="34" borderId="0" xfId="0" applyFont="1" applyFill="1" applyBorder="1" applyAlignment="1">
      <alignment vertical="center" wrapText="1"/>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7" fillId="34" borderId="0" xfId="0" applyFont="1" applyFill="1" applyBorder="1" applyAlignment="1" applyProtection="1">
      <alignment horizontal="center"/>
      <protection/>
    </xf>
    <xf numFmtId="0" fontId="12" fillId="38" borderId="27" xfId="54" applyFont="1" applyFill="1" applyBorder="1" applyAlignment="1" applyProtection="1">
      <alignment horizontal="left" vertical="center" readingOrder="1"/>
      <protection locked="0"/>
    </xf>
    <xf numFmtId="0" fontId="12" fillId="38" borderId="15" xfId="54" applyFont="1" applyFill="1" applyBorder="1" applyAlignment="1" applyProtection="1">
      <alignment horizontal="left" vertical="center" readingOrder="1"/>
      <protection locked="0"/>
    </xf>
    <xf numFmtId="0" fontId="6" fillId="34" borderId="31" xfId="0" applyFont="1" applyFill="1" applyBorder="1" applyAlignment="1" applyProtection="1">
      <alignment horizontal="left" vertical="center" wrapText="1"/>
      <protection/>
    </xf>
    <xf numFmtId="0" fontId="6" fillId="34" borderId="17" xfId="0" applyFont="1" applyFill="1" applyBorder="1" applyAlignment="1" applyProtection="1">
      <alignment horizontal="left" vertical="center" wrapText="1"/>
      <protection/>
    </xf>
    <xf numFmtId="0" fontId="6" fillId="34" borderId="32" xfId="0" applyFont="1" applyFill="1" applyBorder="1" applyAlignment="1" applyProtection="1">
      <alignment horizontal="left" vertical="center" wrapText="1"/>
      <protection/>
    </xf>
    <xf numFmtId="0" fontId="6" fillId="34" borderId="26" xfId="0" applyFont="1" applyFill="1" applyBorder="1" applyAlignment="1" applyProtection="1">
      <alignment horizontal="left" vertical="center" wrapText="1"/>
      <protection/>
    </xf>
    <xf numFmtId="0" fontId="6" fillId="34" borderId="0" xfId="0" applyFont="1" applyFill="1" applyBorder="1" applyAlignment="1" applyProtection="1">
      <alignment horizontal="left" vertical="center" wrapText="1"/>
      <protection/>
    </xf>
    <xf numFmtId="0" fontId="6" fillId="34" borderId="18" xfId="0" applyFont="1" applyFill="1" applyBorder="1" applyAlignment="1" applyProtection="1">
      <alignment horizontal="left" vertical="center" wrapText="1"/>
      <protection/>
    </xf>
    <xf numFmtId="0" fontId="6" fillId="34" borderId="14" xfId="0" applyFont="1" applyFill="1" applyBorder="1" applyAlignment="1" applyProtection="1">
      <alignment horizontal="left" vertical="center" wrapText="1"/>
      <protection/>
    </xf>
    <xf numFmtId="0" fontId="6" fillId="34" borderId="27" xfId="0" applyFont="1" applyFill="1" applyBorder="1" applyAlignment="1" applyProtection="1">
      <alignment horizontal="left" vertical="center" wrapText="1"/>
      <protection/>
    </xf>
    <xf numFmtId="0" fontId="6" fillId="34" borderId="15" xfId="0" applyFont="1" applyFill="1" applyBorder="1" applyAlignment="1" applyProtection="1">
      <alignment horizontal="left" vertical="center" wrapText="1"/>
      <protection/>
    </xf>
    <xf numFmtId="0" fontId="6" fillId="34" borderId="0"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3" fillId="33" borderId="0" xfId="0" applyFont="1" applyFill="1" applyBorder="1" applyAlignment="1">
      <alignment vertical="center" wrapText="1"/>
    </xf>
    <xf numFmtId="0" fontId="7" fillId="0" borderId="14" xfId="0" applyFont="1" applyFill="1" applyBorder="1" applyAlignment="1" applyProtection="1">
      <alignment horizontal="center"/>
      <protection/>
    </xf>
    <xf numFmtId="0" fontId="7" fillId="0" borderId="15" xfId="0" applyFont="1" applyFill="1" applyBorder="1" applyAlignment="1" applyProtection="1">
      <alignment horizontal="center"/>
      <protection/>
    </xf>
    <xf numFmtId="180" fontId="7" fillId="0" borderId="22" xfId="0" applyNumberFormat="1" applyFont="1" applyFill="1" applyBorder="1" applyAlignment="1" applyProtection="1">
      <alignment horizontal="center" wrapText="1"/>
      <protection/>
    </xf>
    <xf numFmtId="180" fontId="7" fillId="0" borderId="13" xfId="0" applyNumberFormat="1" applyFont="1" applyFill="1" applyBorder="1" applyAlignment="1" applyProtection="1">
      <alignment horizontal="center" wrapText="1"/>
      <protection/>
    </xf>
    <xf numFmtId="0" fontId="6" fillId="33" borderId="0" xfId="0" applyFont="1" applyFill="1" applyBorder="1" applyAlignment="1" applyProtection="1">
      <alignment horizontal="left" wrapText="1"/>
      <protection/>
    </xf>
    <xf numFmtId="0" fontId="6" fillId="33" borderId="0" xfId="0" applyFont="1" applyFill="1" applyBorder="1" applyAlignment="1" applyProtection="1">
      <alignment horizontal="left" vertical="top" wrapText="1"/>
      <protection/>
    </xf>
    <xf numFmtId="0" fontId="6" fillId="33" borderId="45" xfId="0" applyFont="1" applyFill="1" applyBorder="1" applyAlignment="1" applyProtection="1">
      <alignment horizontal="left" vertical="top" wrapText="1"/>
      <protection/>
    </xf>
    <xf numFmtId="0" fontId="65" fillId="33" borderId="46" xfId="0" applyFont="1" applyFill="1" applyBorder="1" applyAlignment="1" applyProtection="1">
      <alignment horizontal="left" vertical="top" wrapText="1"/>
      <protection/>
    </xf>
    <xf numFmtId="0" fontId="65" fillId="33" borderId="47" xfId="0" applyFont="1" applyFill="1" applyBorder="1" applyAlignment="1" applyProtection="1">
      <alignment horizontal="left" vertical="top" wrapText="1"/>
      <protection/>
    </xf>
    <xf numFmtId="0" fontId="65" fillId="33" borderId="48" xfId="0" applyFont="1" applyFill="1" applyBorder="1" applyAlignment="1" applyProtection="1">
      <alignment horizontal="left" vertical="top" wrapText="1"/>
      <protection/>
    </xf>
    <xf numFmtId="0" fontId="6" fillId="33" borderId="49" xfId="0" applyFont="1" applyFill="1" applyBorder="1" applyAlignment="1" applyProtection="1">
      <alignment horizontal="left" vertical="top"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Excel_Bundlogo1"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56">
    <dxf>
      <fill>
        <patternFill>
          <bgColor rgb="FFFFFFCC"/>
        </patternFill>
      </fill>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border>
        <left style="thin"/>
        <right style="thin"/>
        <top style="thin"/>
        <bottom style="thin"/>
      </border>
    </dxf>
    <dxf/>
    <dxf>
      <border>
        <left style="thin"/>
        <righ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fill>
        <patternFill>
          <bgColor rgb="FFCCFFFF"/>
        </patternFill>
      </fill>
      <border>
        <top style="thin"/>
        <bottom style="thin"/>
      </border>
    </dxf>
    <dxf>
      <fill>
        <patternFill>
          <bgColor theme="8" tint="0.5999600291252136"/>
        </patternFill>
      </fill>
      <border>
        <left style="thin"/>
        <right style="thin"/>
        <top style="thin"/>
        <bottom style="thin"/>
      </border>
    </dxf>
    <dxf>
      <border>
        <right style="thin"/>
      </border>
    </dxf>
    <dxf>
      <border>
        <left style="thin"/>
        <right style="thin"/>
        <top style="thin"/>
        <bottom style="thin"/>
      </border>
    </dxf>
    <dxf>
      <fill>
        <patternFill>
          <bgColor rgb="FFCCFFFF"/>
        </patternFill>
      </fill>
      <border>
        <left style="thin"/>
        <right style="thin"/>
        <top style="thin"/>
        <bottom style="thin"/>
      </border>
    </dxf>
    <dxf>
      <fill>
        <patternFill>
          <bgColor rgb="FFFFFFCC"/>
        </patternFill>
      </fill>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border>
        <left style="thin"/>
        <right style="thin"/>
        <top style="thin"/>
        <bottom style="thin"/>
      </border>
    </dxf>
    <dxf/>
    <dxf>
      <border>
        <left style="thin"/>
        <righ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fill>
        <patternFill>
          <bgColor rgb="FFCCFFFF"/>
        </patternFill>
      </fill>
      <border>
        <top style="thin"/>
        <bottom style="thin"/>
      </border>
    </dxf>
    <dxf>
      <fill>
        <patternFill>
          <bgColor theme="8" tint="0.5999600291252136"/>
        </patternFill>
      </fill>
      <border>
        <left style="thin"/>
        <right style="thin"/>
        <top style="thin"/>
        <bottom style="thin"/>
      </border>
    </dxf>
    <dxf>
      <border>
        <right style="thin"/>
      </border>
    </dxf>
    <dxf>
      <border>
        <left style="thin"/>
        <right style="thin"/>
        <top style="thin"/>
        <bottom style="thin"/>
      </border>
    </dxf>
    <dxf>
      <fill>
        <patternFill>
          <bgColor rgb="FFCCFFFF"/>
        </patternFill>
      </fill>
      <border>
        <left style="thin"/>
        <right style="thin"/>
        <top style="thin"/>
        <bottom style="thin"/>
      </border>
    </dxf>
    <dxf>
      <fill>
        <patternFill>
          <bgColor rgb="FFFFFFCC"/>
        </patternFill>
      </fill>
    </dxf>
    <dxf>
      <fill>
        <patternFill>
          <bgColor rgb="FFCCFF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border>
        <right style="thin">
          <color rgb="FF000000"/>
        </right>
      </border>
    </dxf>
    <dxf>
      <fill>
        <patternFill>
          <bgColor theme="8" tint="0.5999600291252136"/>
        </patternFill>
      </fill>
      <border>
        <left style="thin">
          <color rgb="FF000000"/>
        </left>
        <right style="thin">
          <color rgb="FF000000"/>
        </right>
        <top style="thin"/>
        <bottom style="thin">
          <color rgb="FF000000"/>
        </bottom>
      </border>
    </dxf>
    <dxf>
      <fill>
        <patternFill>
          <bgColor rgb="FFCCFFFF"/>
        </patternFill>
      </fill>
      <border>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314325</xdr:colOff>
      <xdr:row>0</xdr:row>
      <xdr:rowOff>28575</xdr:rowOff>
    </xdr:from>
    <xdr:ext cx="2800350" cy="695325"/>
    <xdr:sp>
      <xdr:nvSpPr>
        <xdr:cNvPr id="1" name="Text Box 1"/>
        <xdr:cNvSpPr txBox="1">
          <a:spLocks noChangeArrowheads="1"/>
        </xdr:cNvSpPr>
      </xdr:nvSpPr>
      <xdr:spPr>
        <a:xfrm>
          <a:off x="11934825" y="28575"/>
          <a:ext cx="2800350" cy="695325"/>
        </a:xfrm>
        <a:prstGeom prst="rect">
          <a:avLst/>
        </a:prstGeom>
        <a:solidFill>
          <a:srgbClr val="FFFFFF"/>
        </a:solidFill>
        <a:ln w="9525" cmpd="sng">
          <a:noFill/>
        </a:ln>
      </xdr:spPr>
      <xdr:txBody>
        <a:bodyPr vertOverflow="clip" wrap="square" lIns="18000" tIns="10800" rIns="18000" bIns="10800"/>
        <a:p>
          <a:pPr algn="l">
            <a:defRPr/>
          </a:pPr>
          <a:r>
            <a:rPr lang="en-US" cap="none" sz="775" b="0" i="0" u="none" baseline="0">
              <a:solidFill>
                <a:srgbClr val="000000"/>
              </a:solidFill>
              <a:latin typeface="Arial"/>
              <a:ea typeface="Arial"/>
              <a:cs typeface="Arial"/>
            </a:rPr>
            <a:t>Eidgenössisches Departement für Wirtschaft, Bildung und Forschung WBF</a:t>
          </a:r>
          <a:r>
            <a:rPr lang="en-US" cap="none" sz="775" b="1" i="0" u="none" baseline="0">
              <a:solidFill>
                <a:srgbClr val="000000"/>
              </a:solidFill>
              <a:latin typeface="Arial"/>
              <a:ea typeface="Arial"/>
              <a:cs typeface="Arial"/>
            </a:rPr>
            <a:t>
</a:t>
          </a:r>
          <a:r>
            <a:rPr lang="en-US" cap="none" sz="775" b="1" i="0" u="none" baseline="0">
              <a:solidFill>
                <a:srgbClr val="000000"/>
              </a:solidFill>
              <a:latin typeface="Arial"/>
              <a:ea typeface="Arial"/>
              <a:cs typeface="Arial"/>
            </a:rPr>
            <a:t>Staatssekretariat für Wirtschaft 
</a:t>
          </a:r>
          <a:r>
            <a:rPr lang="en-US" cap="none" sz="775" b="0" i="0" u="none" baseline="0">
              <a:solidFill>
                <a:srgbClr val="000000"/>
              </a:solidFill>
              <a:latin typeface="Arial"/>
              <a:ea typeface="Arial"/>
              <a:cs typeface="Arial"/>
            </a:rPr>
            <a:t>Personenfreizügigkeit und Arbeitsbeziehungen
</a:t>
          </a:r>
          <a:r>
            <a:rPr lang="en-US" cap="none" sz="775" b="0" i="0" u="none" baseline="0">
              <a:solidFill>
                <a:srgbClr val="000000"/>
              </a:solidFill>
              <a:latin typeface="Arial"/>
              <a:ea typeface="Arial"/>
              <a:cs typeface="Arial"/>
            </a:rPr>
            <a:t>Arbeitsmarktaufsicht</a:t>
          </a:r>
        </a:p>
      </xdr:txBody>
    </xdr:sp>
    <xdr:clientData/>
  </xdr:oneCellAnchor>
  <xdr:twoCellAnchor editAs="oneCell">
    <xdr:from>
      <xdr:col>0</xdr:col>
      <xdr:colOff>28575</xdr:colOff>
      <xdr:row>0</xdr:row>
      <xdr:rowOff>19050</xdr:rowOff>
    </xdr:from>
    <xdr:to>
      <xdr:col>0</xdr:col>
      <xdr:colOff>2076450</xdr:colOff>
      <xdr:row>0</xdr:row>
      <xdr:rowOff>542925</xdr:rowOff>
    </xdr:to>
    <xdr:pic>
      <xdr:nvPicPr>
        <xdr:cNvPr id="2" name="Picture 2"/>
        <xdr:cNvPicPr preferRelativeResize="1">
          <a:picLocks noChangeAspect="1"/>
        </xdr:cNvPicPr>
      </xdr:nvPicPr>
      <xdr:blipFill>
        <a:blip r:embed="rId1"/>
        <a:stretch>
          <a:fillRect/>
        </a:stretch>
      </xdr:blipFill>
      <xdr:spPr>
        <a:xfrm>
          <a:off x="28575" y="19050"/>
          <a:ext cx="2047875" cy="523875"/>
        </a:xfrm>
        <a:prstGeom prst="rect">
          <a:avLst/>
        </a:prstGeom>
        <a:solidFill>
          <a:srgbClr val="FFFFFF"/>
        </a:solidFill>
        <a:ln w="9525" cmpd="sng">
          <a:noFill/>
        </a:ln>
      </xdr:spPr>
    </xdr:pic>
    <xdr:clientData/>
  </xdr:twoCellAnchor>
  <xdr:twoCellAnchor>
    <xdr:from>
      <xdr:col>4</xdr:col>
      <xdr:colOff>895350</xdr:colOff>
      <xdr:row>57</xdr:row>
      <xdr:rowOff>142875</xdr:rowOff>
    </xdr:from>
    <xdr:to>
      <xdr:col>9</xdr:col>
      <xdr:colOff>752475</xdr:colOff>
      <xdr:row>57</xdr:row>
      <xdr:rowOff>523875</xdr:rowOff>
    </xdr:to>
    <xdr:sp>
      <xdr:nvSpPr>
        <xdr:cNvPr id="3" name="Textfeld 3"/>
        <xdr:cNvSpPr txBox="1">
          <a:spLocks noChangeArrowheads="1"/>
        </xdr:cNvSpPr>
      </xdr:nvSpPr>
      <xdr:spPr>
        <a:xfrm>
          <a:off x="7629525" y="17545050"/>
          <a:ext cx="7581900" cy="38100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r>
            <a:rPr lang="en-US" cap="none" sz="1200" b="0" i="0" u="none" baseline="0">
              <a:solidFill>
                <a:srgbClr val="000000"/>
              </a:solidFill>
              <a:latin typeface="Cambria Math"/>
              <a:ea typeface="Cambria Math"/>
              <a:cs typeface="Cambria Math"/>
            </a:rPr>
            <a:t>Grundlohn+vermögenswirksame Leistungen) x ((Anz.  Ferientage)/(260-Anz.  Ferientage))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323850</xdr:colOff>
      <xdr:row>0</xdr:row>
      <xdr:rowOff>28575</xdr:rowOff>
    </xdr:from>
    <xdr:ext cx="2781300" cy="695325"/>
    <xdr:sp>
      <xdr:nvSpPr>
        <xdr:cNvPr id="1" name="Text Box 1"/>
        <xdr:cNvSpPr txBox="1">
          <a:spLocks noChangeArrowheads="1"/>
        </xdr:cNvSpPr>
      </xdr:nvSpPr>
      <xdr:spPr>
        <a:xfrm>
          <a:off x="11953875" y="28575"/>
          <a:ext cx="2781300" cy="695325"/>
        </a:xfrm>
        <a:prstGeom prst="rect">
          <a:avLst/>
        </a:prstGeom>
        <a:solidFill>
          <a:srgbClr val="FFFFFF"/>
        </a:solidFill>
        <a:ln w="9525" cmpd="sng">
          <a:noFill/>
        </a:ln>
      </xdr:spPr>
      <xdr:txBody>
        <a:bodyPr vertOverflow="clip" wrap="square" lIns="18000" tIns="10800" rIns="18000" bIns="10800"/>
        <a:p>
          <a:pPr algn="l">
            <a:defRPr/>
          </a:pPr>
          <a:r>
            <a:rPr lang="en-US" cap="none" sz="775" b="0" i="0" u="none" baseline="0">
              <a:solidFill>
                <a:srgbClr val="000000"/>
              </a:solidFill>
              <a:latin typeface="Arial"/>
              <a:ea typeface="Arial"/>
              <a:cs typeface="Arial"/>
            </a:rPr>
            <a:t>Eidgenössisches Departement für Wirtschaft, Bildung und Forschung WBF</a:t>
          </a:r>
          <a:r>
            <a:rPr lang="en-US" cap="none" sz="775" b="1" i="0" u="none" baseline="0">
              <a:solidFill>
                <a:srgbClr val="000000"/>
              </a:solidFill>
              <a:latin typeface="Arial"/>
              <a:ea typeface="Arial"/>
              <a:cs typeface="Arial"/>
            </a:rPr>
            <a:t>
</a:t>
          </a:r>
          <a:r>
            <a:rPr lang="en-US" cap="none" sz="775" b="1" i="0" u="none" baseline="0">
              <a:solidFill>
                <a:srgbClr val="000000"/>
              </a:solidFill>
              <a:latin typeface="Arial"/>
              <a:ea typeface="Arial"/>
              <a:cs typeface="Arial"/>
            </a:rPr>
            <a:t>Staatssekretariat für Wirtschaft 
</a:t>
          </a:r>
          <a:r>
            <a:rPr lang="en-US" cap="none" sz="775" b="0" i="0" u="none" baseline="0">
              <a:solidFill>
                <a:srgbClr val="000000"/>
              </a:solidFill>
              <a:latin typeface="Arial"/>
              <a:ea typeface="Arial"/>
              <a:cs typeface="Arial"/>
            </a:rPr>
            <a:t>Personenfreizügigkeit und Arbeitsbeziehungen
</a:t>
          </a:r>
          <a:r>
            <a:rPr lang="en-US" cap="none" sz="775" b="0" i="0" u="none" baseline="0">
              <a:solidFill>
                <a:srgbClr val="000000"/>
              </a:solidFill>
              <a:latin typeface="Arial"/>
              <a:ea typeface="Arial"/>
              <a:cs typeface="Arial"/>
            </a:rPr>
            <a:t>Arbeitsmarktaufsicht</a:t>
          </a:r>
        </a:p>
      </xdr:txBody>
    </xdr:sp>
    <xdr:clientData/>
  </xdr:oneCellAnchor>
  <xdr:twoCellAnchor editAs="oneCell">
    <xdr:from>
      <xdr:col>0</xdr:col>
      <xdr:colOff>28575</xdr:colOff>
      <xdr:row>0</xdr:row>
      <xdr:rowOff>19050</xdr:rowOff>
    </xdr:from>
    <xdr:to>
      <xdr:col>0</xdr:col>
      <xdr:colOff>2076450</xdr:colOff>
      <xdr:row>0</xdr:row>
      <xdr:rowOff>542925</xdr:rowOff>
    </xdr:to>
    <xdr:pic>
      <xdr:nvPicPr>
        <xdr:cNvPr id="2" name="Picture 2"/>
        <xdr:cNvPicPr preferRelativeResize="1">
          <a:picLocks noChangeAspect="1"/>
        </xdr:cNvPicPr>
      </xdr:nvPicPr>
      <xdr:blipFill>
        <a:blip r:embed="rId1"/>
        <a:stretch>
          <a:fillRect/>
        </a:stretch>
      </xdr:blipFill>
      <xdr:spPr>
        <a:xfrm>
          <a:off x="28575" y="19050"/>
          <a:ext cx="2047875" cy="523875"/>
        </a:xfrm>
        <a:prstGeom prst="rect">
          <a:avLst/>
        </a:prstGeom>
        <a:solidFill>
          <a:srgbClr val="FFFFFF"/>
        </a:solidFill>
        <a:ln w="9525" cmpd="sng">
          <a:noFill/>
        </a:ln>
      </xdr:spPr>
    </xdr:pic>
    <xdr:clientData/>
  </xdr:twoCellAnchor>
  <xdr:twoCellAnchor>
    <xdr:from>
      <xdr:col>4</xdr:col>
      <xdr:colOff>885825</xdr:colOff>
      <xdr:row>57</xdr:row>
      <xdr:rowOff>142875</xdr:rowOff>
    </xdr:from>
    <xdr:to>
      <xdr:col>9</xdr:col>
      <xdr:colOff>752475</xdr:colOff>
      <xdr:row>57</xdr:row>
      <xdr:rowOff>523875</xdr:rowOff>
    </xdr:to>
    <xdr:sp>
      <xdr:nvSpPr>
        <xdr:cNvPr id="3" name="Textfeld 3"/>
        <xdr:cNvSpPr txBox="1">
          <a:spLocks noChangeArrowheads="1"/>
        </xdr:cNvSpPr>
      </xdr:nvSpPr>
      <xdr:spPr>
        <a:xfrm>
          <a:off x="7629525" y="17545050"/>
          <a:ext cx="7591425" cy="38100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r>
            <a:rPr lang="en-US" cap="none" sz="1200" b="0" i="0" u="none" baseline="0">
              <a:solidFill>
                <a:srgbClr val="000000"/>
              </a:solidFill>
              <a:latin typeface="Cambria Math"/>
              <a:ea typeface="Cambria Math"/>
              <a:cs typeface="Cambria Math"/>
            </a:rPr>
            <a:t>Grundlohn+vermögenswirksame Leistungen) x ((Anz.  Ferientage)/(260-Anz.  Ferientage))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0</xdr:col>
      <xdr:colOff>2095500</xdr:colOff>
      <xdr:row>0</xdr:row>
      <xdr:rowOff>571500</xdr:rowOff>
    </xdr:to>
    <xdr:pic>
      <xdr:nvPicPr>
        <xdr:cNvPr id="1" name="Grafik 3"/>
        <xdr:cNvPicPr preferRelativeResize="1">
          <a:picLocks noChangeAspect="1"/>
        </xdr:cNvPicPr>
      </xdr:nvPicPr>
      <xdr:blipFill>
        <a:blip r:embed="rId1"/>
        <a:stretch>
          <a:fillRect/>
        </a:stretch>
      </xdr:blipFill>
      <xdr:spPr>
        <a:xfrm>
          <a:off x="47625" y="47625"/>
          <a:ext cx="2047875" cy="523875"/>
        </a:xfrm>
        <a:prstGeom prst="rect">
          <a:avLst/>
        </a:prstGeom>
        <a:noFill/>
        <a:ln w="9525" cmpd="sng">
          <a:noFill/>
        </a:ln>
      </xdr:spPr>
    </xdr:pic>
    <xdr:clientData/>
  </xdr:twoCellAnchor>
  <xdr:oneCellAnchor>
    <xdr:from>
      <xdr:col>6</xdr:col>
      <xdr:colOff>0</xdr:colOff>
      <xdr:row>0</xdr:row>
      <xdr:rowOff>47625</xdr:rowOff>
    </xdr:from>
    <xdr:ext cx="3381375" cy="514350"/>
    <xdr:sp>
      <xdr:nvSpPr>
        <xdr:cNvPr id="2" name="Text Box 1"/>
        <xdr:cNvSpPr txBox="1">
          <a:spLocks noChangeArrowheads="1"/>
        </xdr:cNvSpPr>
      </xdr:nvSpPr>
      <xdr:spPr>
        <a:xfrm>
          <a:off x="10001250" y="47625"/>
          <a:ext cx="3381375" cy="514350"/>
        </a:xfrm>
        <a:prstGeom prst="rect">
          <a:avLst/>
        </a:prstGeom>
        <a:solidFill>
          <a:srgbClr val="FFFFFF"/>
        </a:solidFill>
        <a:ln w="9525" cmpd="sng">
          <a:noFill/>
        </a:ln>
      </xdr:spPr>
      <xdr:txBody>
        <a:bodyPr vertOverflow="clip" wrap="square" lIns="18000" tIns="10800" rIns="18000" bIns="10800"/>
        <a:p>
          <a:pPr algn="l">
            <a:defRPr/>
          </a:pPr>
          <a:r>
            <a:rPr lang="en-US" cap="none" sz="775" b="0" i="0" u="none" baseline="0">
              <a:solidFill>
                <a:srgbClr val="000000"/>
              </a:solidFill>
              <a:latin typeface="Arial"/>
              <a:ea typeface="Arial"/>
              <a:cs typeface="Arial"/>
            </a:rPr>
            <a:t>Eidgenössisches Departement für Wirtschaft, Bildung und Forschung WBF
</a:t>
          </a:r>
          <a:r>
            <a:rPr lang="en-US" cap="none" sz="775" b="1" i="0" u="none" baseline="0">
              <a:solidFill>
                <a:srgbClr val="000000"/>
              </a:solidFill>
              <a:latin typeface="Arial"/>
              <a:ea typeface="Arial"/>
              <a:cs typeface="Arial"/>
            </a:rPr>
            <a:t>Staatssekretariat für Wirtschaft 
</a:t>
          </a:r>
          <a:r>
            <a:rPr lang="en-US" cap="none" sz="775" b="0" i="0" u="none" baseline="0">
              <a:solidFill>
                <a:srgbClr val="000000"/>
              </a:solidFill>
              <a:latin typeface="Arial"/>
              <a:ea typeface="Arial"/>
              <a:cs typeface="Arial"/>
            </a:rPr>
            <a:t>Personenfreizügigkeit und Arbeitsbeziehungen
</a:t>
          </a:r>
          <a:r>
            <a:rPr lang="en-US" cap="none" sz="775" b="0" i="0" u="none" baseline="0">
              <a:solidFill>
                <a:srgbClr val="000000"/>
              </a:solidFill>
              <a:latin typeface="Arial"/>
              <a:ea typeface="Arial"/>
              <a:cs typeface="Arial"/>
            </a:rPr>
            <a:t>Arbeitsmarktaufsicht</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stv.admin.ch/estv/de/home/mehrwertsteuer/dienstleistungen/fremdwaehrungskurse/monatsmittelkurse.html" TargetMode="External" /><Relationship Id="rId2" Type="http://schemas.openxmlformats.org/officeDocument/2006/relationships/hyperlink" Target="http://www.feiertagskalender.ch/" TargetMode="External" /><Relationship Id="rId3" Type="http://schemas.openxmlformats.org/officeDocument/2006/relationships/comments" Target="../comments1.xml" /><Relationship Id="rId4" Type="http://schemas.openxmlformats.org/officeDocument/2006/relationships/oleObject" Target="../embeddings/oleObject_0_0.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stv.admin.ch/estv/de/home/mehrwertsteuer/dienstleistungen/fremdwaehrungskurse/monatsmittelkurse.html" TargetMode="External" /><Relationship Id="rId2" Type="http://schemas.openxmlformats.org/officeDocument/2006/relationships/hyperlink" Target="http://www.feiertagskalender.ch/" TargetMode="External" /><Relationship Id="rId3" Type="http://schemas.openxmlformats.org/officeDocument/2006/relationships/comments" Target="../comments2.xml" /><Relationship Id="rId4" Type="http://schemas.openxmlformats.org/officeDocument/2006/relationships/oleObject" Target="../embeddings/oleObject_1_0.bin"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stv.admin.ch/estv/de/home/mehrwertsteuer/dienstleistungen/fremdwaehrungskurse/monatsmittelkurse.html" TargetMode="External" /><Relationship Id="rId2" Type="http://schemas.openxmlformats.org/officeDocument/2006/relationships/hyperlink" Target="http://www.feiertagskalender.ch/"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seco.admin.ch/seco/de/home/Arbeit/Personenfreizugigkeit_Arbeitsbeziehungen/freier-personenverkehr-ch-eu-und-flankierende-massnahmen/internationaler-lohnvergleich.html" TargetMode="External" /><Relationship Id="rId2" Type="http://schemas.openxmlformats.org/officeDocument/2006/relationships/oleObject" Target="../embeddings/oleObject_3_0.bin" /><Relationship Id="rId3" Type="http://schemas.openxmlformats.org/officeDocument/2006/relationships/oleObject" Target="../embeddings/oleObject_3_1.bin"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66"/>
  <sheetViews>
    <sheetView tabSelected="1" zoomScale="90" zoomScaleNormal="90" zoomScaleSheetLayoutView="100" zoomScalePageLayoutView="0" workbookViewId="0" topLeftCell="A1">
      <selection activeCell="A3" sqref="A3"/>
    </sheetView>
  </sheetViews>
  <sheetFormatPr defaultColWidth="11.421875" defaultRowHeight="12.75"/>
  <cols>
    <col min="1" max="1" width="49.8515625" style="1" customWidth="1"/>
    <col min="2" max="2" width="16.57421875" style="1" customWidth="1"/>
    <col min="3" max="3" width="11.421875" style="1" customWidth="1"/>
    <col min="4" max="4" width="23.140625" style="1" customWidth="1"/>
    <col min="5" max="5" width="17.140625" style="1" customWidth="1"/>
    <col min="6" max="6" width="56.140625" style="1" customWidth="1"/>
    <col min="7" max="7" width="15.28125" style="1" customWidth="1"/>
    <col min="8" max="8" width="13.00390625" style="1" customWidth="1"/>
    <col min="9" max="9" width="14.28125" style="1" customWidth="1"/>
    <col min="10" max="10" width="14.57421875" style="1" customWidth="1"/>
    <col min="11" max="11" width="11.421875" style="105" customWidth="1"/>
    <col min="12" max="15" width="11.421875" style="1" customWidth="1"/>
    <col min="16" max="16384" width="11.421875" style="1" customWidth="1"/>
  </cols>
  <sheetData>
    <row r="1" spans="1:11" ht="63.75" customHeight="1">
      <c r="A1" s="24"/>
      <c r="B1" s="24"/>
      <c r="C1" s="24"/>
      <c r="D1" s="24"/>
      <c r="E1" s="24"/>
      <c r="F1" s="220"/>
      <c r="G1" s="220"/>
      <c r="H1" s="53"/>
      <c r="I1" s="53"/>
      <c r="J1" s="23"/>
      <c r="K1" s="98"/>
    </row>
    <row r="2" spans="1:11" ht="15.75" customHeight="1">
      <c r="A2" s="60" t="s">
        <v>0</v>
      </c>
      <c r="B2" s="56"/>
      <c r="C2" s="56"/>
      <c r="D2" s="56"/>
      <c r="E2" s="57"/>
      <c r="F2" s="58"/>
      <c r="G2" s="59"/>
      <c r="H2" s="59"/>
      <c r="I2" s="59"/>
      <c r="J2" s="59"/>
      <c r="K2" s="99"/>
    </row>
    <row r="3" spans="1:12" ht="15.75" customHeight="1">
      <c r="A3" s="72"/>
      <c r="B3" s="72"/>
      <c r="C3" s="72"/>
      <c r="D3" s="72"/>
      <c r="E3" s="72"/>
      <c r="F3" s="24"/>
      <c r="G3" s="54"/>
      <c r="H3" s="54"/>
      <c r="I3" s="54"/>
      <c r="J3" s="54"/>
      <c r="K3" s="100"/>
      <c r="L3" s="23"/>
    </row>
    <row r="4" spans="1:11" ht="15.75" customHeight="1">
      <c r="A4" s="75" t="s">
        <v>123</v>
      </c>
      <c r="B4" s="74"/>
      <c r="C4" s="74"/>
      <c r="D4" s="74"/>
      <c r="E4" s="76"/>
      <c r="F4" s="207" t="s">
        <v>162</v>
      </c>
      <c r="G4" s="208"/>
      <c r="H4" s="208"/>
      <c r="I4" s="208"/>
      <c r="J4" s="209"/>
      <c r="K4" s="100"/>
    </row>
    <row r="5" spans="1:11" ht="23.25" customHeight="1">
      <c r="A5" s="77" t="s">
        <v>67</v>
      </c>
      <c r="B5" s="224" t="s">
        <v>124</v>
      </c>
      <c r="C5" s="224"/>
      <c r="D5" s="224"/>
      <c r="E5" s="225"/>
      <c r="F5" s="210"/>
      <c r="G5" s="211"/>
      <c r="H5" s="211"/>
      <c r="I5" s="211"/>
      <c r="J5" s="212"/>
      <c r="K5" s="100"/>
    </row>
    <row r="6" spans="1:11" ht="20.25" customHeight="1">
      <c r="A6" s="77" t="s">
        <v>69</v>
      </c>
      <c r="B6" s="224" t="s">
        <v>128</v>
      </c>
      <c r="C6" s="224"/>
      <c r="D6" s="224"/>
      <c r="E6" s="225"/>
      <c r="F6" s="210"/>
      <c r="G6" s="211"/>
      <c r="H6" s="211"/>
      <c r="I6" s="211"/>
      <c r="J6" s="212"/>
      <c r="K6" s="100"/>
    </row>
    <row r="7" spans="1:11" ht="24.75" customHeight="1">
      <c r="A7" s="77" t="s">
        <v>68</v>
      </c>
      <c r="B7" s="224" t="s">
        <v>125</v>
      </c>
      <c r="C7" s="224"/>
      <c r="D7" s="224"/>
      <c r="E7" s="225"/>
      <c r="F7" s="210"/>
      <c r="G7" s="211"/>
      <c r="H7" s="211"/>
      <c r="I7" s="211"/>
      <c r="J7" s="212"/>
      <c r="K7" s="100"/>
    </row>
    <row r="8" spans="1:11" ht="15.75" customHeight="1">
      <c r="A8" s="79"/>
      <c r="B8" s="73"/>
      <c r="C8" s="73"/>
      <c r="D8" s="73"/>
      <c r="E8" s="78"/>
      <c r="F8" s="213"/>
      <c r="G8" s="214"/>
      <c r="H8" s="214"/>
      <c r="I8" s="214"/>
      <c r="J8" s="215"/>
      <c r="K8" s="100"/>
    </row>
    <row r="9" spans="1:11" ht="15" customHeight="1">
      <c r="A9" s="25"/>
      <c r="B9" s="25"/>
      <c r="C9" s="25"/>
      <c r="D9" s="22"/>
      <c r="E9" s="22"/>
      <c r="F9" s="22"/>
      <c r="G9" s="22"/>
      <c r="H9" s="22"/>
      <c r="I9" s="23"/>
      <c r="J9" s="23"/>
      <c r="K9" s="98"/>
    </row>
    <row r="10" spans="1:12" s="3" customFormat="1" ht="15" customHeight="1">
      <c r="A10" s="19" t="s">
        <v>63</v>
      </c>
      <c r="B10" s="19"/>
      <c r="C10" s="17"/>
      <c r="D10" s="17"/>
      <c r="E10" s="17"/>
      <c r="F10" s="19" t="s">
        <v>30</v>
      </c>
      <c r="G10" s="18"/>
      <c r="H10" s="18"/>
      <c r="I10" s="18"/>
      <c r="J10" s="18"/>
      <c r="K10" s="101"/>
      <c r="L10" s="121"/>
    </row>
    <row r="11" spans="1:12" s="3" customFormat="1" ht="15" customHeight="1">
      <c r="A11" s="86"/>
      <c r="B11" s="19"/>
      <c r="C11" s="18"/>
      <c r="D11" s="17"/>
      <c r="E11" s="17"/>
      <c r="F11" s="20"/>
      <c r="G11" s="221" t="s">
        <v>56</v>
      </c>
      <c r="H11" s="222"/>
      <c r="I11" s="221" t="s">
        <v>2</v>
      </c>
      <c r="J11" s="222"/>
      <c r="K11" s="101"/>
      <c r="L11" s="122" t="s">
        <v>33</v>
      </c>
    </row>
    <row r="12" spans="1:12" s="3" customFormat="1" ht="15" customHeight="1" thickBot="1">
      <c r="A12" s="19"/>
      <c r="B12" s="19"/>
      <c r="C12" s="19" t="s">
        <v>3</v>
      </c>
      <c r="D12" s="17"/>
      <c r="E12" s="17"/>
      <c r="F12" s="21"/>
      <c r="G12" s="106" t="s">
        <v>4</v>
      </c>
      <c r="H12" s="4" t="s">
        <v>5</v>
      </c>
      <c r="I12" s="5" t="s">
        <v>5</v>
      </c>
      <c r="J12" s="112" t="s">
        <v>4</v>
      </c>
      <c r="K12" s="101"/>
      <c r="L12" s="122" t="s">
        <v>32</v>
      </c>
    </row>
    <row r="13" spans="1:12" s="3" customFormat="1" ht="15" customHeight="1" thickTop="1">
      <c r="A13" s="19"/>
      <c r="B13" s="19"/>
      <c r="C13" s="2"/>
      <c r="D13" s="17"/>
      <c r="E13" s="17"/>
      <c r="F13" s="6" t="s">
        <v>6</v>
      </c>
      <c r="G13" s="107">
        <f>$H13*$C$42</f>
        <v>0</v>
      </c>
      <c r="H13" s="7">
        <f>IF(D14="Euro pro Std.",C14,C14/((C22*52)/12))</f>
        <v>0</v>
      </c>
      <c r="I13" s="7">
        <f>$J13/$C$42</f>
        <v>0</v>
      </c>
      <c r="J13" s="107">
        <f>C35</f>
        <v>0</v>
      </c>
      <c r="K13" s="101"/>
      <c r="L13" s="121" t="s">
        <v>57</v>
      </c>
    </row>
    <row r="14" spans="1:12" s="3" customFormat="1" ht="15" customHeight="1">
      <c r="A14" s="89" t="s">
        <v>6</v>
      </c>
      <c r="B14" s="18"/>
      <c r="C14" s="15">
        <v>0</v>
      </c>
      <c r="D14" s="119" t="s">
        <v>7</v>
      </c>
      <c r="E14" s="42"/>
      <c r="F14" s="6" t="s">
        <v>16</v>
      </c>
      <c r="G14" s="108">
        <f aca="true" t="shared" si="0" ref="G14:G22">$H14*$C$42</f>
        <v>0</v>
      </c>
      <c r="H14" s="8">
        <f>C21/((52*C22)/12)</f>
        <v>0</v>
      </c>
      <c r="I14" s="13"/>
      <c r="J14" s="14"/>
      <c r="K14" s="101"/>
      <c r="L14" s="121" t="s">
        <v>31</v>
      </c>
    </row>
    <row r="15" spans="1:12" s="3" customFormat="1" ht="15" customHeight="1">
      <c r="A15" s="18" t="s">
        <v>9</v>
      </c>
      <c r="B15" s="18"/>
      <c r="C15" s="15">
        <v>0</v>
      </c>
      <c r="D15" s="17" t="s">
        <v>10</v>
      </c>
      <c r="E15" s="17"/>
      <c r="F15" s="6" t="s">
        <v>18</v>
      </c>
      <c r="G15" s="108">
        <f t="shared" si="0"/>
        <v>0</v>
      </c>
      <c r="H15" s="8">
        <f>(H13+H14)*(C23/(260-C23))</f>
        <v>0</v>
      </c>
      <c r="I15" s="8">
        <f>$J15/$C$42</f>
        <v>0</v>
      </c>
      <c r="J15" s="108">
        <f>J13*(C36/(260-C36))</f>
        <v>0</v>
      </c>
      <c r="K15" s="101"/>
      <c r="L15" s="121" t="s">
        <v>36</v>
      </c>
    </row>
    <row r="16" spans="1:12" s="3" customFormat="1" ht="15" customHeight="1">
      <c r="A16" s="18" t="s">
        <v>12</v>
      </c>
      <c r="B16" s="18"/>
      <c r="C16" s="15">
        <v>0</v>
      </c>
      <c r="D16" s="17" t="s">
        <v>13</v>
      </c>
      <c r="E16" s="17"/>
      <c r="F16" s="6" t="s">
        <v>20</v>
      </c>
      <c r="G16" s="108">
        <f t="shared" si="0"/>
        <v>0</v>
      </c>
      <c r="H16" s="8">
        <f>(H13+H14)*(C24/(260-C24))</f>
        <v>0</v>
      </c>
      <c r="I16" s="8">
        <f>$J16/$C$42</f>
        <v>0</v>
      </c>
      <c r="J16" s="108">
        <f>J13*(C37/(260-C37))</f>
        <v>0</v>
      </c>
      <c r="K16" s="101"/>
      <c r="L16" s="121" t="s">
        <v>35</v>
      </c>
    </row>
    <row r="17" spans="1:12" s="3" customFormat="1" ht="15" customHeight="1">
      <c r="A17" s="18" t="s">
        <v>14</v>
      </c>
      <c r="B17" s="18"/>
      <c r="C17" s="15">
        <v>1E-16</v>
      </c>
      <c r="D17" s="17" t="s">
        <v>15</v>
      </c>
      <c r="E17" s="17"/>
      <c r="F17" s="6" t="s">
        <v>22</v>
      </c>
      <c r="G17" s="108">
        <f t="shared" si="0"/>
        <v>0</v>
      </c>
      <c r="H17" s="9">
        <f>IF(D27="Euro pro Jahr",(H13+H14+H15+H16)*L28/100*1/12,IF(D27="% eines Monatsgehaltes",(H13+H14+H15+H16)*C27/100*1/12,(H13+H14+H15+H16)*C27/100))</f>
        <v>0</v>
      </c>
      <c r="I17" s="8">
        <f>$J17/$C$42</f>
        <v>0</v>
      </c>
      <c r="J17" s="108">
        <f>(J13+J15+J16)*(C38/100)*(1/12)</f>
        <v>0</v>
      </c>
      <c r="K17" s="101"/>
      <c r="L17" s="121" t="s">
        <v>7</v>
      </c>
    </row>
    <row r="18" spans="1:12" s="3" customFormat="1" ht="15" customHeight="1">
      <c r="A18" s="27" t="s">
        <v>31</v>
      </c>
      <c r="B18" s="43"/>
      <c r="C18" s="15">
        <v>0</v>
      </c>
      <c r="D18" s="17" t="s">
        <v>15</v>
      </c>
      <c r="E18" s="17"/>
      <c r="F18" s="6" t="s">
        <v>24</v>
      </c>
      <c r="G18" s="108">
        <f t="shared" si="0"/>
        <v>0</v>
      </c>
      <c r="H18" s="9">
        <f>IF(D28="Euro pro Jahr",(H13+H14+H15+H16)*L29/100*1/12,IF(D28="% eines Monatsgehaltes",(H13+H14+H15+H16)*C28/100*1/12,(H13+H14+H15+H16)*C28/100))</f>
        <v>0</v>
      </c>
      <c r="I18" s="48">
        <f>$J18/$C$42</f>
        <v>0</v>
      </c>
      <c r="J18" s="109">
        <f>(J13+J15+J16)*(C39/100)*(1/12)</f>
        <v>0</v>
      </c>
      <c r="K18" s="101"/>
      <c r="L18" s="121" t="s">
        <v>17</v>
      </c>
    </row>
    <row r="19" spans="1:12" s="3" customFormat="1" ht="15" customHeight="1">
      <c r="A19" s="18">
        <f>IF(AND(A18="          davon Nachtarbeit",C18&gt;0),"          Zuschlag Nachtarbeit",IF(AND(A18="          davon Samstagsarbeit",C18&gt;0),"          Zuschlag Samstagsarbeit",IF(AND(A18="          davon Sonntagsarbeit",C18&gt;0),"          Zuschlag Sonntagsarbeit","")))</f>
      </c>
      <c r="B19" s="18"/>
      <c r="C19" s="15">
        <v>0</v>
      </c>
      <c r="D19" s="17">
        <f>IF(C18&gt;0,"Euro pro Stunde","")</f>
      </c>
      <c r="E19" s="17"/>
      <c r="F19" s="6" t="s">
        <v>115</v>
      </c>
      <c r="G19" s="108">
        <f t="shared" si="0"/>
        <v>0</v>
      </c>
      <c r="H19" s="47">
        <f>IF(D29="Euro pro Jahr",(H13+H14+H15+H16)*(L30/100)*1/12,IF(D29="% eines Monatsgehaltes",(H13+H14+H15+H16)*(C29/100)*1/12,(H13+H14+H15+H16)*C29/100))</f>
        <v>0</v>
      </c>
      <c r="I19" s="51"/>
      <c r="J19" s="52"/>
      <c r="K19" s="101"/>
      <c r="L19" s="121"/>
    </row>
    <row r="20" spans="1:12" s="3" customFormat="1" ht="15" customHeight="1">
      <c r="A20" s="35" t="s">
        <v>118</v>
      </c>
      <c r="C20" s="15">
        <v>0</v>
      </c>
      <c r="D20" s="3" t="s">
        <v>15</v>
      </c>
      <c r="E20" s="17"/>
      <c r="F20" s="6" t="s">
        <v>116</v>
      </c>
      <c r="G20" s="107">
        <f t="shared" si="0"/>
        <v>0</v>
      </c>
      <c r="H20" s="47">
        <f>IF(D30="Euro pro Jahr",(H13+H14+H15+H16)*(L31/100)*1/12,IF(D30="% eines Monatsgehaltes",(H13+H14+H15+H16)*(C30/100)*1/12,(H13+H14+H15+H16)*C30/100))</f>
        <v>0</v>
      </c>
      <c r="I20" s="45"/>
      <c r="J20" s="46"/>
      <c r="K20" s="101"/>
      <c r="L20" s="121"/>
    </row>
    <row r="21" spans="1:12" s="3" customFormat="1" ht="15" customHeight="1">
      <c r="A21" s="35" t="s">
        <v>16</v>
      </c>
      <c r="B21" s="18"/>
      <c r="C21" s="15">
        <v>0</v>
      </c>
      <c r="D21" s="17" t="s">
        <v>17</v>
      </c>
      <c r="E21" s="17"/>
      <c r="F21" s="6" t="s">
        <v>8</v>
      </c>
      <c r="G21" s="107">
        <f t="shared" si="0"/>
        <v>0</v>
      </c>
      <c r="H21" s="51">
        <f>C26</f>
        <v>0</v>
      </c>
      <c r="I21" s="45"/>
      <c r="J21" s="46"/>
      <c r="K21" s="101"/>
      <c r="L21" s="121"/>
    </row>
    <row r="22" spans="1:12" s="3" customFormat="1" ht="15" customHeight="1">
      <c r="A22" s="18" t="s">
        <v>58</v>
      </c>
      <c r="B22" s="18"/>
      <c r="C22" s="15">
        <v>1E-13</v>
      </c>
      <c r="D22" s="17" t="s">
        <v>19</v>
      </c>
      <c r="E22" s="17"/>
      <c r="F22" s="44" t="s">
        <v>11</v>
      </c>
      <c r="G22" s="109">
        <f t="shared" si="0"/>
        <v>0</v>
      </c>
      <c r="H22" s="48">
        <f>IF(D25="Euro für die Einsatzdauer",(($C25)-((C16*C43)+(C15*C44))/C42)/C17,((C25*C15)-((C43*C16+C44*C15)/C42))/C17)</f>
        <v>0</v>
      </c>
      <c r="I22" s="45"/>
      <c r="J22" s="46"/>
      <c r="K22" s="101"/>
      <c r="L22" s="121"/>
    </row>
    <row r="23" spans="1:12" s="3" customFormat="1" ht="15" customHeight="1" thickBot="1">
      <c r="A23" s="89" t="s">
        <v>21</v>
      </c>
      <c r="B23" s="18"/>
      <c r="C23" s="15">
        <v>0</v>
      </c>
      <c r="D23" s="17" t="s">
        <v>10</v>
      </c>
      <c r="E23" s="17"/>
      <c r="F23" s="39" t="s">
        <v>25</v>
      </c>
      <c r="G23" s="110">
        <f>SUM(G$13:G$22)</f>
        <v>0</v>
      </c>
      <c r="H23" s="49">
        <f>SUM(H$13:H$22)</f>
        <v>0</v>
      </c>
      <c r="I23" s="50">
        <f>SUM(I$13:I$18)-I14</f>
        <v>0</v>
      </c>
      <c r="J23" s="113">
        <f>SUM(J$13:J$18)-J14</f>
        <v>0</v>
      </c>
      <c r="K23" s="101"/>
      <c r="L23" s="121"/>
    </row>
    <row r="24" spans="1:12" s="3" customFormat="1" ht="15" customHeight="1" thickTop="1">
      <c r="A24" s="131" t="s">
        <v>23</v>
      </c>
      <c r="B24" s="18"/>
      <c r="C24" s="15">
        <v>0</v>
      </c>
      <c r="D24" s="17" t="s">
        <v>10</v>
      </c>
      <c r="E24" s="17"/>
      <c r="F24" s="41"/>
      <c r="G24" s="41"/>
      <c r="H24" s="41"/>
      <c r="I24" s="41"/>
      <c r="J24" s="41"/>
      <c r="K24" s="101"/>
      <c r="L24" s="121"/>
    </row>
    <row r="25" spans="1:12" s="3" customFormat="1" ht="15" customHeight="1">
      <c r="A25" s="35" t="s">
        <v>11</v>
      </c>
      <c r="B25" s="18"/>
      <c r="C25" s="15">
        <v>0</v>
      </c>
      <c r="D25" s="119" t="s">
        <v>59</v>
      </c>
      <c r="E25" s="17"/>
      <c r="F25" s="18"/>
      <c r="G25" s="117" t="s">
        <v>4</v>
      </c>
      <c r="H25" s="117" t="s">
        <v>5</v>
      </c>
      <c r="I25" s="41"/>
      <c r="J25" s="41"/>
      <c r="K25" s="101"/>
      <c r="L25" s="121"/>
    </row>
    <row r="26" spans="1:12" s="3" customFormat="1" ht="15" customHeight="1">
      <c r="A26" s="35" t="s">
        <v>8</v>
      </c>
      <c r="B26" s="18"/>
      <c r="C26" s="15">
        <v>0</v>
      </c>
      <c r="D26" s="17" t="s">
        <v>7</v>
      </c>
      <c r="E26" s="17"/>
      <c r="F26" s="10" t="s">
        <v>28</v>
      </c>
      <c r="G26" s="111">
        <f>G23-J23</f>
        <v>0</v>
      </c>
      <c r="H26" s="11">
        <f>H23-I23</f>
        <v>0</v>
      </c>
      <c r="I26" s="41"/>
      <c r="J26" s="18"/>
      <c r="K26" s="101"/>
      <c r="L26" s="121" t="s">
        <v>59</v>
      </c>
    </row>
    <row r="27" spans="1:12" s="3" customFormat="1" ht="15" customHeight="1">
      <c r="A27" s="35" t="s">
        <v>22</v>
      </c>
      <c r="B27" s="18"/>
      <c r="C27" s="15">
        <v>0</v>
      </c>
      <c r="D27" s="119" t="s">
        <v>33</v>
      </c>
      <c r="E27" s="17"/>
      <c r="F27" s="29"/>
      <c r="G27" s="29"/>
      <c r="H27" s="29"/>
      <c r="I27" s="41"/>
      <c r="J27" s="18"/>
      <c r="K27" s="101"/>
      <c r="L27" s="121" t="s">
        <v>60</v>
      </c>
    </row>
    <row r="28" spans="1:12" s="3" customFormat="1" ht="15" customHeight="1">
      <c r="A28" s="35" t="s">
        <v>24</v>
      </c>
      <c r="B28" s="18"/>
      <c r="C28" s="15">
        <v>0</v>
      </c>
      <c r="D28" s="119" t="s">
        <v>33</v>
      </c>
      <c r="E28" s="17"/>
      <c r="F28" s="19">
        <f>IF(AND(C18&gt;0,A18="          davon Nachtarbeit"),"Vergleich Stundenlohn für Einsätze in der Nacht:",IF(AND(C18&gt;0,A18="          davon Samstagsarbeit"),"Vergleich Stundenlohn für Einsätze an Samstagen:",IF(AND(C18&gt;0,A18="          davon Sonntagsarbeit"),"Vergleich Stundenlohn für Einsätze an Sonntagen:","")))</f>
      </c>
      <c r="G28" s="18"/>
      <c r="H28" s="18"/>
      <c r="I28" s="18"/>
      <c r="J28" s="18"/>
      <c r="K28" s="101"/>
      <c r="L28" s="123">
        <f>C27/C31*100</f>
        <v>0</v>
      </c>
    </row>
    <row r="29" spans="1:12" s="3" customFormat="1" ht="15" customHeight="1">
      <c r="A29" s="35" t="s">
        <v>115</v>
      </c>
      <c r="B29" s="18"/>
      <c r="C29" s="15">
        <v>0</v>
      </c>
      <c r="D29" s="119" t="s">
        <v>33</v>
      </c>
      <c r="E29" s="17"/>
      <c r="F29" s="18"/>
      <c r="G29" s="223">
        <f>IF(C18&gt;0,"Ist Herkunftsland","")</f>
      </c>
      <c r="H29" s="223"/>
      <c r="I29" s="223">
        <f>IF(C18&gt;0,"Soll Schweiz","")</f>
      </c>
      <c r="J29" s="223"/>
      <c r="K29" s="101"/>
      <c r="L29" s="123">
        <f>C28/C31*100</f>
        <v>0</v>
      </c>
    </row>
    <row r="30" spans="1:12" s="3" customFormat="1" ht="15" customHeight="1">
      <c r="A30" s="35" t="s">
        <v>116</v>
      </c>
      <c r="B30" s="18"/>
      <c r="C30" s="15">
        <v>0</v>
      </c>
      <c r="D30" s="120" t="s">
        <v>32</v>
      </c>
      <c r="E30" s="17"/>
      <c r="F30" s="18">
        <f>IF(C18&gt;0,"Grundlohn","")</f>
      </c>
      <c r="G30" s="87">
        <f>IF(C18&gt;0,$H30*$C$42,"")</f>
      </c>
      <c r="H30" s="88">
        <f>IF(AND(C18&gt;0,D14="Euro pro Std."),C14,IF(AND(C18&gt;0,D14="Euro pro Monat"),C14/((C22*52)/12),""))</f>
      </c>
      <c r="I30" s="81">
        <f>IF(C18&gt;0,$J30/$C$42,"")</f>
      </c>
      <c r="J30" s="87">
        <f>IF(C18&gt;0,C35,"")</f>
      </c>
      <c r="K30" s="101"/>
      <c r="L30" s="123">
        <f>C29/C31*100</f>
        <v>0</v>
      </c>
    </row>
    <row r="31" spans="1:12" s="3" customFormat="1" ht="15" customHeight="1">
      <c r="A31" s="18" t="str">
        <f>IF(OR(D27="Euro pro Jahr",D28="Euro pro Jahr",D29="Euro pro Jahr",D30="Euro pro Jahr"),"Monatslohn","")</f>
        <v>Monatslohn</v>
      </c>
      <c r="B31" s="18"/>
      <c r="C31" s="15">
        <v>1E-15</v>
      </c>
      <c r="D31" s="17" t="str">
        <f>IF(A31="Monatslohn","Euro pro Monat","")</f>
        <v>Euro pro Monat</v>
      </c>
      <c r="E31" s="18"/>
      <c r="F31" s="18">
        <f>IF(A19="          Zuschlag Nachtarbeit","Zulage Nachtarbeit",IF(A19="          Zuschlag Samstagsarbeit","Zulage Samstagsarbeit",IF(A19="          Zuschlag Sonntagsarbeit","Zulage Sonntagsarbeit","")))</f>
      </c>
      <c r="G31" s="88">
        <f>IF(C18&gt;0,H31*C42,"")</f>
      </c>
      <c r="H31" s="88">
        <f>IF(C18&gt;0,C19,"")</f>
      </c>
      <c r="I31" s="88">
        <f>IF(C18&gt;0,$J$31/$C$42,"")</f>
      </c>
      <c r="J31" s="87">
        <f>IF(AND(C18&gt;0,C40=""),J30*B40,IF(C18&gt;0,J30*C40/100,""))</f>
      </c>
      <c r="K31" s="101"/>
      <c r="L31" s="123">
        <f>C30/C31*100</f>
        <v>0</v>
      </c>
    </row>
    <row r="32" spans="1:12" s="3" customFormat="1" ht="15" customHeight="1">
      <c r="A32" s="18"/>
      <c r="B32" s="19"/>
      <c r="C32" s="18"/>
      <c r="D32" s="18"/>
      <c r="E32" s="17"/>
      <c r="F32" s="18">
        <f>IF(C18&gt;0,"Vermögenswirksame Leistungen","")</f>
      </c>
      <c r="G32" s="88">
        <f>IF(C18&gt;0,H32*C$42,"")</f>
      </c>
      <c r="H32" s="88">
        <f>IF(C18&gt;0,C21/((52*C22)/12),"")</f>
      </c>
      <c r="I32" s="237"/>
      <c r="J32" s="237"/>
      <c r="K32" s="101"/>
      <c r="L32" s="121"/>
    </row>
    <row r="33" spans="1:12" s="3" customFormat="1" ht="15" customHeight="1">
      <c r="A33" s="19" t="s">
        <v>64</v>
      </c>
      <c r="B33" s="18"/>
      <c r="C33" s="28"/>
      <c r="D33" s="17"/>
      <c r="E33" s="17"/>
      <c r="F33" s="18">
        <f>IF(C18&gt;0,"Ferienentschädigung","")</f>
      </c>
      <c r="G33" s="88">
        <f>IF(C18&gt;0,$H33*$C$42,"")</f>
      </c>
      <c r="H33" s="88">
        <f>IF(C18&gt;0,(H30+H32)*(C23/(260-C23)),"")</f>
      </c>
      <c r="I33" s="88">
        <f>IF(C18&gt;0,$J33/$C$42,"")</f>
      </c>
      <c r="J33" s="87">
        <f>IF(C18&gt;0,(J30)*(C36/(260-C36)),"")</f>
      </c>
      <c r="K33" s="101"/>
      <c r="L33" s="121"/>
    </row>
    <row r="34" spans="1:11" s="3" customFormat="1" ht="15" customHeight="1">
      <c r="A34" s="18"/>
      <c r="B34" s="18"/>
      <c r="C34" s="28"/>
      <c r="D34" s="17"/>
      <c r="E34" s="17"/>
      <c r="F34" s="18">
        <f>IF(C18&gt;0,"Feiertagsentschädigung","")</f>
      </c>
      <c r="G34" s="88">
        <f>IF(C18&gt;0,$H34*$C$42,"")</f>
      </c>
      <c r="H34" s="88">
        <f>IF(C18&gt;0,(H30+H32)*(C24/(260-C24)),"")</f>
      </c>
      <c r="I34" s="88">
        <f>IF(C18&gt;0,$J34/$C$42,"")</f>
      </c>
      <c r="J34" s="87">
        <f>IF(C18&gt;0,(J30)*(C37/(260-C37)),"")</f>
      </c>
      <c r="K34" s="102"/>
    </row>
    <row r="35" spans="1:11" s="3" customFormat="1" ht="15" customHeight="1">
      <c r="A35" s="35" t="s">
        <v>29</v>
      </c>
      <c r="B35" s="18"/>
      <c r="C35" s="15">
        <v>0</v>
      </c>
      <c r="D35" s="17" t="s">
        <v>4</v>
      </c>
      <c r="E35" s="17"/>
      <c r="F35" s="18">
        <f>IF(C18&gt;0,"13. Monatslohn","")</f>
      </c>
      <c r="G35" s="88">
        <f>IF(C18&gt;0,$H35*$C$42,"")</f>
      </c>
      <c r="H35" s="87">
        <f>IF(C18&gt;0,IF(D27="Euro pro Jahr",(H13+H14+H15+H16)*L28/100*1/12,IF(D27="% eines Monatsgehaltes",(H13+H14+H15+H16)*C27/100*1/12,(H13+H14+H15+H16)*C27/100)),"")</f>
      </c>
      <c r="I35" s="88">
        <f>IF(C18&gt;0,$J35/$C$42,"")</f>
      </c>
      <c r="J35" s="87">
        <f>IF(C18&gt;0,(SUM(J30:J34)-J31)*(C38/100)*(1/12),"")</f>
      </c>
      <c r="K35" s="102"/>
    </row>
    <row r="36" spans="1:11" s="3" customFormat="1" ht="15" customHeight="1">
      <c r="A36" s="35" t="s">
        <v>21</v>
      </c>
      <c r="B36" s="18"/>
      <c r="C36" s="15">
        <v>0</v>
      </c>
      <c r="D36" s="17" t="s">
        <v>10</v>
      </c>
      <c r="E36" s="17"/>
      <c r="F36" s="18">
        <f>IF(C18&gt;0,"14. Monatslohn","")</f>
      </c>
      <c r="G36" s="88">
        <f>IF(C18&gt;0,$H36*$C$42,"")</f>
      </c>
      <c r="H36" s="87">
        <f>IF(C18&gt;0,IF(D28="Euro pro Jahr",(H13+H14+H15+H16)*L29/100*1/12,IF(D28="% eines Monatsgehaltes",(H13+H14+H15+H16)*C28/100*1/12,(H13+H14+H15+H16)*C28/100)),"")</f>
      </c>
      <c r="I36" s="88">
        <f>IF(C18&gt;0,$J36/$C$42,"")</f>
      </c>
      <c r="J36" s="87">
        <f>IF(C18&gt;0,(SUM(J30:J34)-J31)*(C39/100)*(1/12),"")</f>
      </c>
      <c r="K36" s="102"/>
    </row>
    <row r="37" spans="1:11" s="3" customFormat="1" ht="15" customHeight="1">
      <c r="A37" s="35" t="s">
        <v>23</v>
      </c>
      <c r="B37" s="18"/>
      <c r="C37" s="15">
        <v>0</v>
      </c>
      <c r="D37" s="17" t="s">
        <v>10</v>
      </c>
      <c r="E37" s="17"/>
      <c r="F37" s="18">
        <f>IF(C18&gt;0,"Urlaubsgeld","")</f>
      </c>
      <c r="G37" s="88">
        <f>IF(C18&gt;0,$H37*$C$42,"")</f>
      </c>
      <c r="H37" s="87">
        <f>IF(C18&gt;0,IF(D29="Euro pro Jahr",(H13+H14+H15+H16)*L30/100*1/12,IF(D29="% eines Monatsgehaltes",(H13+H14+H15+H16)*C29/100*1/12,(H13+H14+H15+H16)*C29/100)),"")</f>
      </c>
      <c r="I37" s="117"/>
      <c r="J37" s="117"/>
      <c r="K37" s="102"/>
    </row>
    <row r="38" spans="1:11" s="3" customFormat="1" ht="15" customHeight="1">
      <c r="A38" s="35" t="s">
        <v>22</v>
      </c>
      <c r="B38" s="18"/>
      <c r="C38" s="15">
        <v>0</v>
      </c>
      <c r="D38" s="17" t="s">
        <v>26</v>
      </c>
      <c r="E38" s="17"/>
      <c r="F38" s="18">
        <f>IF(C18&gt;0,"Weihnachtsgeld","")</f>
      </c>
      <c r="G38" s="88">
        <f>IF(C18&gt;0,$H38*$C$42,"")</f>
      </c>
      <c r="H38" s="87">
        <f>IF(C18&gt;0,IF(D30="Euro pro Jahr",(H13+H14+H15+H16)*L31/100*1/12,IF(D30="% eines Monatsgehaltes",(H13+H14+H15+H16)*C30/100*1/12,(H13+H14+H15+H16)*C30/100)),"")</f>
      </c>
      <c r="I38" s="117"/>
      <c r="J38" s="117"/>
      <c r="K38" s="102"/>
    </row>
    <row r="39" spans="1:11" s="3" customFormat="1" ht="15" customHeight="1">
      <c r="A39" s="35" t="s">
        <v>24</v>
      </c>
      <c r="C39" s="15">
        <v>0</v>
      </c>
      <c r="D39" s="17" t="s">
        <v>26</v>
      </c>
      <c r="E39" s="17"/>
      <c r="F39" s="18">
        <f>IF(C18&gt;0,"Entsendezulage","")</f>
      </c>
      <c r="G39" s="88">
        <f>IF(C18&gt;0,$H39*$C$42,"")</f>
      </c>
      <c r="H39" s="88">
        <f>IF(C18&gt;0,C26,"")</f>
      </c>
      <c r="I39" s="87"/>
      <c r="J39" s="87"/>
      <c r="K39" s="102"/>
    </row>
    <row r="40" spans="1:14" s="12" customFormat="1" ht="15">
      <c r="A40" s="35">
        <f>IF(AND(A18="          davon Nachtarbeit",C18&gt;0),"Zuschlag Nachtarbeit",IF(AND(A18="          davon Samstagsarbeit",C18&gt;0),"Zuschlag Samstagsarbeit",IF(AND(A18="          davon Sonntagsarbeit",C18&gt;0),"Zuschlag Sonntagsarbeit","")))</f>
      </c>
      <c r="B40" s="36">
        <f>IF(A40="Zuschlag Nachtarbeit",0.25,IF(A40="Zuschlag Samstagsarbeit",0,IF(A40="Zuschlag Sonntagsarbeit",0.5,"")))</f>
      </c>
      <c r="C40" s="124"/>
      <c r="D40" s="40">
        <f>IF(C18&gt;0,"%","")</f>
      </c>
      <c r="E40" s="17"/>
      <c r="F40" s="18">
        <f>IF(C18&gt;0,"Entsendeentschädigung","")</f>
      </c>
      <c r="G40" s="88">
        <f>IF(C18&gt;0,H40*C42,"")</f>
      </c>
      <c r="H40" s="88">
        <f>IF(AND(C18&gt;0,D25="Euro für die Einsatzdauer"),(($C$25)-(((C16*C43)+(C15*C44))/C42))/C17,IF(AND(C18&gt;0,D25="Euro pro Tag"),((C25*C15)-((C43*C16+C44*C15)/C42))/C17,""))</f>
      </c>
      <c r="I40" s="87"/>
      <c r="J40" s="87"/>
      <c r="K40" s="102"/>
      <c r="L40" s="3"/>
      <c r="M40" s="3"/>
      <c r="N40" s="3"/>
    </row>
    <row r="41" spans="1:11" ht="15" customHeight="1">
      <c r="A41" s="25"/>
      <c r="B41" s="18"/>
      <c r="C41" s="25"/>
      <c r="D41" s="40"/>
      <c r="E41" s="22"/>
      <c r="F41" s="18">
        <f>IF(C18&gt;0,"Bruttostundenlohn","")</f>
      </c>
      <c r="G41" s="30">
        <f>IF(C18&gt;0,SUM(G30:G40),"")</f>
      </c>
      <c r="H41" s="30">
        <f>IF(C18&gt;0,SUM(H30:H40),"")</f>
      </c>
      <c r="I41" s="30">
        <f>IF(C18&gt;0,SUM(I30:I36),"")</f>
      </c>
      <c r="J41" s="31">
        <f>IF(C18&gt;0,SUM(J30:J36),"")</f>
      </c>
      <c r="K41" s="98"/>
    </row>
    <row r="42" spans="1:11" ht="15" customHeight="1">
      <c r="A42" s="216" t="s">
        <v>70</v>
      </c>
      <c r="B42" s="132" t="s">
        <v>163</v>
      </c>
      <c r="C42" s="55">
        <v>1.088</v>
      </c>
      <c r="D42" s="17" t="s">
        <v>27</v>
      </c>
      <c r="E42" s="22"/>
      <c r="F42" s="23"/>
      <c r="G42" s="23"/>
      <c r="H42" s="23"/>
      <c r="I42" s="23"/>
      <c r="J42" s="23"/>
      <c r="K42" s="98"/>
    </row>
    <row r="43" spans="1:11" ht="15" customHeight="1">
      <c r="A43" s="35" t="s">
        <v>113</v>
      </c>
      <c r="B43" s="18"/>
      <c r="C43" s="15">
        <v>0</v>
      </c>
      <c r="D43" s="17" t="s">
        <v>4</v>
      </c>
      <c r="E43" s="22"/>
      <c r="F43" s="18"/>
      <c r="G43" s="117">
        <f>IF(C18&gt;0,"CHF","")</f>
      </c>
      <c r="H43" s="117">
        <f>IF(C18&gt;0,"Euro","")</f>
      </c>
      <c r="I43" s="23"/>
      <c r="J43" s="23"/>
      <c r="K43" s="98"/>
    </row>
    <row r="44" spans="1:11" ht="15" customHeight="1">
      <c r="A44" s="35" t="s">
        <v>114</v>
      </c>
      <c r="B44" s="25"/>
      <c r="C44" s="16">
        <v>0</v>
      </c>
      <c r="D44" s="17" t="s">
        <v>4</v>
      </c>
      <c r="E44" s="22"/>
      <c r="F44" s="32">
        <f>IF(AND(C18&gt;0,A18="          davon Nachtarbeit"),"Differenz Bruttostundenlohn bei Nachtarbeit",IF(AND(C18&gt;0,A18="          davon Samstagsarbeit"),"Differenz Bruttostundenlohn bei Samstagsarbeit",IF(AND(C18&gt;0,A18="          davon Sonntagsarbeit"),"Differenz Bruttostundenlohn bei Sonntagsarbeit","")))</f>
      </c>
      <c r="G44" s="33">
        <f>IF(C18&gt;0,G41-J41,"")</f>
      </c>
      <c r="H44" s="34">
        <f>IF(C18&gt;0,H41-I41,"")</f>
      </c>
      <c r="I44" s="17"/>
      <c r="J44" s="17"/>
      <c r="K44" s="98"/>
    </row>
    <row r="45" spans="1:11" ht="14.25" customHeight="1">
      <c r="A45" s="25"/>
      <c r="B45" s="25"/>
      <c r="C45" s="25"/>
      <c r="D45" s="22"/>
      <c r="E45" s="22"/>
      <c r="F45" s="23"/>
      <c r="G45" s="23"/>
      <c r="H45" s="23"/>
      <c r="I45" s="23"/>
      <c r="J45" s="23"/>
      <c r="K45" s="98"/>
    </row>
    <row r="46" spans="1:11" s="37" customFormat="1" ht="22.5" customHeight="1">
      <c r="A46" s="25"/>
      <c r="B46" s="17"/>
      <c r="C46" s="25"/>
      <c r="D46" s="22"/>
      <c r="E46" s="17"/>
      <c r="F46" s="18"/>
      <c r="G46" s="117" t="s">
        <v>4</v>
      </c>
      <c r="H46" s="117" t="s">
        <v>5</v>
      </c>
      <c r="I46" s="23"/>
      <c r="J46" s="23"/>
      <c r="K46" s="103"/>
    </row>
    <row r="47" spans="1:11" s="37" customFormat="1" ht="15.75" customHeight="1">
      <c r="A47" s="17"/>
      <c r="C47" s="25"/>
      <c r="D47" s="22"/>
      <c r="E47" s="17"/>
      <c r="F47" s="10" t="s">
        <v>34</v>
      </c>
      <c r="G47" s="111">
        <f>IF(C18&gt;0,G26*(C17-C18)+G44*C18,G26*C17)</f>
        <v>0</v>
      </c>
      <c r="H47" s="80">
        <f>IF(C18&gt;0,H26*(C17-C18)+H44*C18,H26*C17)</f>
        <v>0</v>
      </c>
      <c r="I47" s="23"/>
      <c r="J47" s="23"/>
      <c r="K47" s="103"/>
    </row>
    <row r="48" spans="1:11" s="37" customFormat="1" ht="24" customHeight="1">
      <c r="A48" s="19" t="s">
        <v>37</v>
      </c>
      <c r="B48" s="17"/>
      <c r="C48" s="17"/>
      <c r="D48" s="17"/>
      <c r="E48" s="115"/>
      <c r="F48" s="17"/>
      <c r="G48" s="17"/>
      <c r="H48" s="17"/>
      <c r="I48" s="23"/>
      <c r="J48" s="23"/>
      <c r="K48" s="116"/>
    </row>
    <row r="49" spans="1:13" s="37" customFormat="1" ht="19.5" customHeight="1">
      <c r="A49" s="26" t="s">
        <v>65</v>
      </c>
      <c r="B49" s="230" t="s">
        <v>66</v>
      </c>
      <c r="C49" s="230"/>
      <c r="D49" s="230"/>
      <c r="E49" s="230"/>
      <c r="F49" s="230"/>
      <c r="G49" s="230"/>
      <c r="H49" s="230"/>
      <c r="I49" s="230"/>
      <c r="J49" s="230"/>
      <c r="K49" s="116"/>
      <c r="L49" s="2"/>
      <c r="M49" s="2"/>
    </row>
    <row r="50" spans="1:13" s="37" customFormat="1" ht="38.25" customHeight="1">
      <c r="A50" s="91" t="s">
        <v>38</v>
      </c>
      <c r="B50" s="230" t="s">
        <v>39</v>
      </c>
      <c r="C50" s="230"/>
      <c r="D50" s="230"/>
      <c r="E50" s="230"/>
      <c r="F50" s="230"/>
      <c r="G50" s="230"/>
      <c r="H50" s="230"/>
      <c r="I50" s="230"/>
      <c r="J50" s="230"/>
      <c r="K50" s="114"/>
      <c r="L50" s="2"/>
      <c r="M50" s="2"/>
    </row>
    <row r="51" spans="1:13" s="37" customFormat="1" ht="80.25" customHeight="1">
      <c r="A51" s="92"/>
      <c r="B51" s="230" t="s">
        <v>61</v>
      </c>
      <c r="C51" s="230"/>
      <c r="D51" s="230"/>
      <c r="E51" s="230"/>
      <c r="F51" s="230"/>
      <c r="G51" s="230"/>
      <c r="H51" s="230"/>
      <c r="I51" s="230"/>
      <c r="J51" s="230"/>
      <c r="K51" s="116"/>
      <c r="L51" s="2"/>
      <c r="M51" s="2"/>
    </row>
    <row r="52" spans="1:13" s="37" customFormat="1" ht="63" customHeight="1">
      <c r="A52" s="91" t="s">
        <v>40</v>
      </c>
      <c r="B52" s="235" t="s">
        <v>41</v>
      </c>
      <c r="C52" s="235"/>
      <c r="D52" s="235"/>
      <c r="E52" s="235"/>
      <c r="F52" s="235"/>
      <c r="G52" s="235"/>
      <c r="H52" s="235"/>
      <c r="I52" s="235"/>
      <c r="J52" s="235"/>
      <c r="K52" s="114"/>
      <c r="L52" s="2"/>
      <c r="M52" s="2"/>
    </row>
    <row r="53" spans="1:13" s="37" customFormat="1" ht="180.75" customHeight="1">
      <c r="A53" s="91" t="s">
        <v>42</v>
      </c>
      <c r="B53" s="226" t="s">
        <v>121</v>
      </c>
      <c r="C53" s="226"/>
      <c r="D53" s="226"/>
      <c r="E53" s="226"/>
      <c r="F53" s="226"/>
      <c r="G53" s="226"/>
      <c r="H53" s="226"/>
      <c r="I53" s="226"/>
      <c r="J53" s="226"/>
      <c r="K53" s="227"/>
      <c r="L53" s="118"/>
      <c r="M53" s="2"/>
    </row>
    <row r="54" spans="1:13" s="37" customFormat="1" ht="48.75" customHeight="1">
      <c r="A54" s="93"/>
      <c r="B54" s="232" t="s">
        <v>43</v>
      </c>
      <c r="C54" s="233"/>
      <c r="D54" s="233"/>
      <c r="E54" s="233"/>
      <c r="F54" s="233"/>
      <c r="G54" s="233"/>
      <c r="H54" s="233"/>
      <c r="I54" s="233"/>
      <c r="J54" s="233"/>
      <c r="K54" s="234"/>
      <c r="L54" s="2"/>
      <c r="M54" s="2"/>
    </row>
    <row r="55" spans="1:13" s="37" customFormat="1" ht="58.5" customHeight="1">
      <c r="A55" s="91" t="s">
        <v>44</v>
      </c>
      <c r="B55" s="228" t="s">
        <v>45</v>
      </c>
      <c r="C55" s="228"/>
      <c r="D55" s="228"/>
      <c r="E55" s="228"/>
      <c r="F55" s="228"/>
      <c r="G55" s="228"/>
      <c r="H55" s="228"/>
      <c r="I55" s="228"/>
      <c r="J55" s="228"/>
      <c r="K55" s="229"/>
      <c r="L55" s="2"/>
      <c r="M55" s="2"/>
    </row>
    <row r="56" spans="1:13" s="37" customFormat="1" ht="39" customHeight="1">
      <c r="A56" s="91" t="s">
        <v>46</v>
      </c>
      <c r="B56" s="230" t="s">
        <v>62</v>
      </c>
      <c r="C56" s="230"/>
      <c r="D56" s="230"/>
      <c r="E56" s="230"/>
      <c r="F56" s="230"/>
      <c r="G56" s="230"/>
      <c r="H56" s="230"/>
      <c r="I56" s="230"/>
      <c r="J56" s="230"/>
      <c r="K56" s="231"/>
      <c r="L56" s="2"/>
      <c r="M56" s="2"/>
    </row>
    <row r="57" spans="1:13" s="37" customFormat="1" ht="30.75" customHeight="1">
      <c r="A57" s="93"/>
      <c r="B57" s="230" t="s">
        <v>47</v>
      </c>
      <c r="C57" s="230"/>
      <c r="D57" s="230"/>
      <c r="E57" s="230"/>
      <c r="F57" s="230"/>
      <c r="G57" s="230"/>
      <c r="H57" s="230"/>
      <c r="I57" s="230"/>
      <c r="J57" s="230"/>
      <c r="K57" s="231"/>
      <c r="L57" s="2"/>
      <c r="M57" s="2"/>
    </row>
    <row r="58" spans="1:13" s="37" customFormat="1" ht="51.75" customHeight="1">
      <c r="A58" s="93"/>
      <c r="B58" s="230" t="s">
        <v>48</v>
      </c>
      <c r="C58" s="230"/>
      <c r="D58" s="230"/>
      <c r="E58" s="230"/>
      <c r="F58" s="230"/>
      <c r="G58" s="230"/>
      <c r="H58" s="230"/>
      <c r="I58" s="230"/>
      <c r="J58" s="230"/>
      <c r="K58" s="231"/>
      <c r="L58" s="2"/>
      <c r="M58" s="2"/>
    </row>
    <row r="59" spans="1:13" s="37" customFormat="1" ht="32.25" customHeight="1">
      <c r="A59" s="91" t="s">
        <v>49</v>
      </c>
      <c r="B59" s="235" t="s">
        <v>50</v>
      </c>
      <c r="C59" s="235"/>
      <c r="D59" s="235"/>
      <c r="E59" s="235"/>
      <c r="F59" s="235"/>
      <c r="G59" s="235"/>
      <c r="H59" s="235"/>
      <c r="I59" s="235"/>
      <c r="J59" s="235"/>
      <c r="K59" s="236"/>
      <c r="L59" s="2"/>
      <c r="M59" s="2"/>
    </row>
    <row r="60" spans="1:13" s="37" customFormat="1" ht="101.25" customHeight="1">
      <c r="A60" s="91" t="s">
        <v>51</v>
      </c>
      <c r="B60" s="230" t="s">
        <v>122</v>
      </c>
      <c r="C60" s="230"/>
      <c r="D60" s="230"/>
      <c r="E60" s="230"/>
      <c r="F60" s="230"/>
      <c r="G60" s="230"/>
      <c r="H60" s="230"/>
      <c r="I60" s="230"/>
      <c r="J60" s="230"/>
      <c r="K60" s="231"/>
      <c r="L60" s="2"/>
      <c r="M60" s="2"/>
    </row>
    <row r="61" spans="1:13" s="37" customFormat="1" ht="36" customHeight="1">
      <c r="A61" s="91" t="s">
        <v>52</v>
      </c>
      <c r="B61" s="235" t="s">
        <v>53</v>
      </c>
      <c r="C61" s="235"/>
      <c r="D61" s="235"/>
      <c r="E61" s="235"/>
      <c r="F61" s="235"/>
      <c r="G61" s="235"/>
      <c r="H61" s="235"/>
      <c r="I61" s="235"/>
      <c r="J61" s="235"/>
      <c r="K61" s="236"/>
      <c r="L61" s="2"/>
      <c r="M61" s="2"/>
    </row>
    <row r="62" spans="1:13" s="37" customFormat="1" ht="45" customHeight="1">
      <c r="A62" s="91" t="s">
        <v>54</v>
      </c>
      <c r="B62" s="226" t="s">
        <v>55</v>
      </c>
      <c r="C62" s="226"/>
      <c r="D62" s="226"/>
      <c r="E62" s="226"/>
      <c r="F62" s="226"/>
      <c r="G62" s="226"/>
      <c r="H62" s="226"/>
      <c r="I62" s="226"/>
      <c r="J62" s="226"/>
      <c r="K62" s="227"/>
      <c r="L62" s="2"/>
      <c r="M62" s="2"/>
    </row>
    <row r="63" spans="1:11" ht="15">
      <c r="A63" s="94"/>
      <c r="B63" s="95"/>
      <c r="C63" s="96"/>
      <c r="D63" s="96"/>
      <c r="E63" s="95"/>
      <c r="F63" s="97"/>
      <c r="G63" s="97"/>
      <c r="H63" s="97"/>
      <c r="I63" s="97"/>
      <c r="J63" s="97"/>
      <c r="K63" s="104"/>
    </row>
    <row r="64" spans="1:10" ht="15">
      <c r="A64" s="24"/>
      <c r="B64" s="24"/>
      <c r="C64" s="24"/>
      <c r="D64" s="24"/>
      <c r="E64" s="24"/>
      <c r="F64" s="90"/>
      <c r="G64" s="90"/>
      <c r="H64" s="90"/>
      <c r="I64" s="90"/>
      <c r="J64" s="90"/>
    </row>
    <row r="65" spans="6:10" ht="15">
      <c r="F65" s="82"/>
      <c r="G65" s="82"/>
      <c r="H65" s="82"/>
      <c r="I65" s="82"/>
      <c r="J65" s="82"/>
    </row>
    <row r="66" spans="6:10" ht="13.5">
      <c r="F66" s="38"/>
      <c r="G66" s="38"/>
      <c r="H66" s="38"/>
      <c r="I66" s="38"/>
      <c r="J66" s="38"/>
    </row>
  </sheetData>
  <sheetProtection password="C915" sheet="1"/>
  <mergeCells count="23">
    <mergeCell ref="I32:J32"/>
    <mergeCell ref="B53:K53"/>
    <mergeCell ref="B49:J49"/>
    <mergeCell ref="B50:J50"/>
    <mergeCell ref="B51:J51"/>
    <mergeCell ref="B52:J52"/>
    <mergeCell ref="B62:K62"/>
    <mergeCell ref="B55:K55"/>
    <mergeCell ref="B56:K56"/>
    <mergeCell ref="B57:K57"/>
    <mergeCell ref="B58:K58"/>
    <mergeCell ref="B54:K54"/>
    <mergeCell ref="B59:K59"/>
    <mergeCell ref="B60:K60"/>
    <mergeCell ref="B61:K61"/>
    <mergeCell ref="F1:G1"/>
    <mergeCell ref="G11:H11"/>
    <mergeCell ref="I11:J11"/>
    <mergeCell ref="I29:J29"/>
    <mergeCell ref="G29:H29"/>
    <mergeCell ref="B5:E5"/>
    <mergeCell ref="B7:E7"/>
    <mergeCell ref="B6:E6"/>
  </mergeCells>
  <conditionalFormatting sqref="C40">
    <cfRule type="expression" priority="32" dxfId="0" stopIfTrue="1">
      <formula>$C$18&gt;0</formula>
    </cfRule>
  </conditionalFormatting>
  <conditionalFormatting sqref="J33:J36 J41 J31 G31:G41">
    <cfRule type="expression" priority="31" dxfId="49" stopIfTrue="1">
      <formula>$C$18&gt;0</formula>
    </cfRule>
  </conditionalFormatting>
  <conditionalFormatting sqref="I33:I36 I31 H41:I41 F31:F41 H32:H40">
    <cfRule type="expression" priority="30" dxfId="50" stopIfTrue="1">
      <formula>$C$18&gt;0</formula>
    </cfRule>
  </conditionalFormatting>
  <conditionalFormatting sqref="J37:J40">
    <cfRule type="expression" priority="29" dxfId="51" stopIfTrue="1">
      <formula>$C$18&gt;0</formula>
    </cfRule>
  </conditionalFormatting>
  <conditionalFormatting sqref="G44">
    <cfRule type="expression" priority="5" dxfId="52" stopIfTrue="1">
      <formula>$C$18&gt;0</formula>
    </cfRule>
    <cfRule type="expression" priority="28" dxfId="53" stopIfTrue="1">
      <formula>$C$18&gt;0</formula>
    </cfRule>
  </conditionalFormatting>
  <conditionalFormatting sqref="F44">
    <cfRule type="expression" priority="27" dxfId="54" stopIfTrue="1">
      <formula>$C$18&gt;0</formula>
    </cfRule>
  </conditionalFormatting>
  <conditionalFormatting sqref="H44 H47">
    <cfRule type="expression" priority="26" dxfId="55" stopIfTrue="1">
      <formula>$C$18&gt;0</formula>
    </cfRule>
  </conditionalFormatting>
  <conditionalFormatting sqref="H31">
    <cfRule type="expression" priority="22" dxfId="50" stopIfTrue="1">
      <formula>$C$18&gt;0</formula>
    </cfRule>
  </conditionalFormatting>
  <conditionalFormatting sqref="F30">
    <cfRule type="containsText" priority="11" dxfId="50" operator="containsText" stopIfTrue="1" text="Grundlohn">
      <formula>NOT(ISERROR(SEARCH("Grundlohn",F30)))</formula>
    </cfRule>
    <cfRule type="containsText" priority="12" dxfId="14" operator="containsText" stopIfTrue="1" text="Grundlohn">
      <formula>NOT(ISERROR(SEARCH("Grundlohn",F30)))</formula>
    </cfRule>
    <cfRule type="expression" priority="21" dxfId="50" stopIfTrue="1">
      <formula>$C$18&gt;0</formula>
    </cfRule>
  </conditionalFormatting>
  <conditionalFormatting sqref="G30">
    <cfRule type="expression" priority="20" dxfId="49" stopIfTrue="1">
      <formula>$C$18&gt;0</formula>
    </cfRule>
  </conditionalFormatting>
  <conditionalFormatting sqref="J30">
    <cfRule type="expression" priority="19" dxfId="49" stopIfTrue="1">
      <formula>$C$18&gt;0</formula>
    </cfRule>
  </conditionalFormatting>
  <conditionalFormatting sqref="H30">
    <cfRule type="expression" priority="18" dxfId="50" stopIfTrue="1">
      <formula>$C$18&gt;0</formula>
    </cfRule>
  </conditionalFormatting>
  <conditionalFormatting sqref="G29:H29">
    <cfRule type="containsText" priority="10" dxfId="50" operator="containsText" stopIfTrue="1" text="Ist Herkunftsland">
      <formula>NOT(ISERROR(SEARCH("Ist Herkunftsland",G29)))</formula>
    </cfRule>
  </conditionalFormatting>
  <conditionalFormatting sqref="I29:J29">
    <cfRule type="containsText" priority="9" dxfId="50" operator="containsText" stopIfTrue="1" text="Soll Schweiz">
      <formula>NOT(ISERROR(SEARCH("Soll Schweiz",I29)))</formula>
    </cfRule>
  </conditionalFormatting>
  <conditionalFormatting sqref="F38:H38">
    <cfRule type="expression" priority="8" dxfId="50" stopIfTrue="1">
      <formula>$C$18&gt;0</formula>
    </cfRule>
  </conditionalFormatting>
  <conditionalFormatting sqref="G38">
    <cfRule type="expression" priority="7" dxfId="52" stopIfTrue="1">
      <formula>$C$18&gt;0</formula>
    </cfRule>
  </conditionalFormatting>
  <conditionalFormatting sqref="G30:G41">
    <cfRule type="expression" priority="6" dxfId="52" stopIfTrue="1">
      <formula>$C$18&gt;0</formula>
    </cfRule>
  </conditionalFormatting>
  <conditionalFormatting sqref="G47">
    <cfRule type="expression" priority="4" dxfId="52" stopIfTrue="1">
      <formula>$C$18&gt;0</formula>
    </cfRule>
  </conditionalFormatting>
  <conditionalFormatting sqref="J30:J31">
    <cfRule type="expression" priority="3" dxfId="52" stopIfTrue="1">
      <formula>$C$18&gt;0</formula>
    </cfRule>
  </conditionalFormatting>
  <conditionalFormatting sqref="J33:J36">
    <cfRule type="expression" priority="2" dxfId="52" stopIfTrue="1">
      <formula>$C$18&gt;0</formula>
    </cfRule>
  </conditionalFormatting>
  <conditionalFormatting sqref="J41">
    <cfRule type="expression" priority="1" dxfId="52" stopIfTrue="1">
      <formula>$C$18&gt;0</formula>
    </cfRule>
  </conditionalFormatting>
  <dataValidations count="5">
    <dataValidation type="list" allowBlank="1" showInputMessage="1" showErrorMessage="1" sqref="D25">
      <formula1>$L$26:$L$27</formula1>
    </dataValidation>
    <dataValidation type="list" allowBlank="1" showInputMessage="1" showErrorMessage="1" sqref="D14">
      <formula1>$L$17:$L$18</formula1>
    </dataValidation>
    <dataValidation type="list" allowBlank="1" showInputMessage="1" showErrorMessage="1" sqref="D30">
      <formula1>$L$11:$L$12</formula1>
    </dataValidation>
    <dataValidation type="list" allowBlank="1" showInputMessage="1" showErrorMessage="1" sqref="A18">
      <formula1>$L$14:$L$16</formula1>
    </dataValidation>
    <dataValidation type="list" allowBlank="1" showInputMessage="1" showErrorMessage="1" sqref="D27:D29">
      <formula1>$L$11:$L$12</formula1>
    </dataValidation>
  </dataValidations>
  <hyperlinks>
    <hyperlink ref="A42" r:id="rId1" display="Wechselkurs "/>
    <hyperlink ref="A24" r:id="rId2" display="Feiertage"/>
    <hyperlink ref="A50" location="'Auszüge SECO Weisung'!A7" display="Grundlohn:"/>
    <hyperlink ref="A52" location="'Auszüge SECO Weisung'!A38" display="Entsendzulage:"/>
    <hyperlink ref="A53" location="'Auszüge SECO Weisung'!A20" display="Entsendeentschädigung:"/>
    <hyperlink ref="A55" location="'Auszüge SECO Weisung'!A40" display="Vermögenswirksame Leistungen:"/>
    <hyperlink ref="A56" location="'Auszüge SECO Weisung'!A45" display="Ferienentschädigung:"/>
    <hyperlink ref="A59" location="'Auszüge SECO Weisung'!A62" display="Feiertagsentschädigung:"/>
    <hyperlink ref="A60" location="'Auszüge SECO Weisung'!A67" display="13./14. Monatslohn:"/>
    <hyperlink ref="A61" location="'Auszüge SECO Weisung'!A77" display="Urlaubsgeld/Weihnachtsgeld:"/>
    <hyperlink ref="A62" location="'Auszüge SECO Weisung'!A81" display="Wechselkurs:"/>
  </hyperlinks>
  <printOptions gridLines="1" horizontalCentered="1"/>
  <pageMargins left="0.3937007874015748" right="0.3937007874015748" top="0.5905511811023623" bottom="0.5905511811023623" header="0.3937007874015748" footer="0.3937007874015748"/>
  <pageSetup fitToHeight="0" fitToWidth="1" horizontalDpi="600" verticalDpi="600" orientation="landscape" paperSize="9" scale="59" r:id="rId7"/>
  <headerFooter alignWithMargins="0">
    <oddFooter xml:space="preserve">&amp;L&amp;"Arial,Fett"&amp;9&amp;D / &amp;T&amp;C&amp;"Arial,Fett"&amp;9&amp;F </oddFooter>
  </headerFooter>
  <rowBreaks count="1" manualBreakCount="1">
    <brk id="47" max="10" man="1"/>
  </rowBreaks>
  <ignoredErrors>
    <ignoredError sqref="L29" evalError="1"/>
  </ignoredErrors>
  <drawing r:id="rId6"/>
  <legacyDrawing r:id="rId5"/>
  <oleObjects>
    <oleObject progId="Equation.3" shapeId="12791090" r:id="rId4"/>
  </oleObjects>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zoomScale="90" zoomScaleNormal="90" zoomScaleSheetLayoutView="100" zoomScalePageLayoutView="0" workbookViewId="0" topLeftCell="A1">
      <selection activeCell="A3" sqref="A3"/>
    </sheetView>
  </sheetViews>
  <sheetFormatPr defaultColWidth="11.421875" defaultRowHeight="12.75"/>
  <cols>
    <col min="1" max="1" width="49.8515625" style="1" customWidth="1"/>
    <col min="2" max="2" width="16.7109375" style="1" customWidth="1"/>
    <col min="3" max="3" width="11.421875" style="1" customWidth="1"/>
    <col min="4" max="4" width="23.140625" style="1" customWidth="1"/>
    <col min="5" max="5" width="17.140625" style="1" customWidth="1"/>
    <col min="6" max="6" width="56.140625" style="1" customWidth="1"/>
    <col min="7" max="7" width="15.28125" style="1" customWidth="1"/>
    <col min="8" max="8" width="13.00390625" style="1" customWidth="1"/>
    <col min="9" max="9" width="14.28125" style="1" customWidth="1"/>
    <col min="10" max="10" width="14.57421875" style="1" customWidth="1"/>
    <col min="11" max="11" width="11.421875" style="105" customWidth="1"/>
    <col min="12" max="15" width="11.421875" style="1" customWidth="1"/>
    <col min="16" max="16384" width="11.421875" style="1" customWidth="1"/>
  </cols>
  <sheetData>
    <row r="1" spans="1:11" ht="63.75" customHeight="1">
      <c r="A1" s="24"/>
      <c r="B1" s="24"/>
      <c r="C1" s="24"/>
      <c r="D1" s="24"/>
      <c r="E1" s="24"/>
      <c r="F1" s="220"/>
      <c r="G1" s="220"/>
      <c r="H1" s="128"/>
      <c r="I1" s="128"/>
      <c r="J1" s="23"/>
      <c r="K1" s="98"/>
    </row>
    <row r="2" spans="1:11" ht="15.75" customHeight="1">
      <c r="A2" s="60" t="s">
        <v>0</v>
      </c>
      <c r="B2" s="56"/>
      <c r="C2" s="56"/>
      <c r="D2" s="56"/>
      <c r="E2" s="57"/>
      <c r="F2" s="58"/>
      <c r="G2" s="59"/>
      <c r="H2" s="59"/>
      <c r="I2" s="59"/>
      <c r="J2" s="59"/>
      <c r="K2" s="99"/>
    </row>
    <row r="3" spans="1:12" ht="15.75" customHeight="1">
      <c r="A3" s="72"/>
      <c r="B3" s="72"/>
      <c r="C3" s="72"/>
      <c r="D3" s="72"/>
      <c r="E3" s="72"/>
      <c r="F3" s="24"/>
      <c r="G3" s="128"/>
      <c r="H3" s="128"/>
      <c r="I3" s="128"/>
      <c r="J3" s="128"/>
      <c r="K3" s="100"/>
      <c r="L3" s="23"/>
    </row>
    <row r="4" spans="1:11" ht="15.75" customHeight="1">
      <c r="A4" s="75" t="s">
        <v>123</v>
      </c>
      <c r="B4" s="74"/>
      <c r="C4" s="74"/>
      <c r="D4" s="74"/>
      <c r="E4" s="76"/>
      <c r="F4" s="24"/>
      <c r="G4" s="128"/>
      <c r="H4" s="128"/>
      <c r="I4" s="128"/>
      <c r="J4" s="128"/>
      <c r="K4" s="100"/>
    </row>
    <row r="5" spans="1:11" ht="23.25" customHeight="1">
      <c r="A5" s="77" t="s">
        <v>67</v>
      </c>
      <c r="B5" s="224" t="s">
        <v>126</v>
      </c>
      <c r="C5" s="224"/>
      <c r="D5" s="224"/>
      <c r="E5" s="225"/>
      <c r="F5" s="24"/>
      <c r="G5" s="128"/>
      <c r="H5" s="128"/>
      <c r="I5" s="128"/>
      <c r="J5" s="128"/>
      <c r="K5" s="100"/>
    </row>
    <row r="6" spans="1:11" ht="20.25" customHeight="1">
      <c r="A6" s="77" t="s">
        <v>69</v>
      </c>
      <c r="B6" s="224" t="s">
        <v>129</v>
      </c>
      <c r="C6" s="224"/>
      <c r="D6" s="224"/>
      <c r="E6" s="225"/>
      <c r="F6" s="24"/>
      <c r="G6" s="128"/>
      <c r="H6" s="128"/>
      <c r="I6" s="128"/>
      <c r="J6" s="128"/>
      <c r="K6" s="100"/>
    </row>
    <row r="7" spans="1:11" ht="24.75" customHeight="1">
      <c r="A7" s="77" t="s">
        <v>68</v>
      </c>
      <c r="B7" s="224" t="s">
        <v>127</v>
      </c>
      <c r="C7" s="224"/>
      <c r="D7" s="224"/>
      <c r="E7" s="225"/>
      <c r="F7" s="24"/>
      <c r="G7" s="128"/>
      <c r="H7" s="128"/>
      <c r="I7" s="128"/>
      <c r="J7" s="128"/>
      <c r="K7" s="100"/>
    </row>
    <row r="8" spans="1:11" ht="15.75" customHeight="1">
      <c r="A8" s="79"/>
      <c r="B8" s="73"/>
      <c r="C8" s="73"/>
      <c r="D8" s="73"/>
      <c r="E8" s="78"/>
      <c r="F8" s="24"/>
      <c r="G8" s="128"/>
      <c r="H8" s="128"/>
      <c r="I8" s="128"/>
      <c r="J8" s="128"/>
      <c r="K8" s="100"/>
    </row>
    <row r="9" spans="1:11" ht="15" customHeight="1">
      <c r="A9" s="25"/>
      <c r="B9" s="25"/>
      <c r="C9" s="25"/>
      <c r="D9" s="22"/>
      <c r="E9" s="22"/>
      <c r="F9" s="22"/>
      <c r="G9" s="22"/>
      <c r="H9" s="22"/>
      <c r="I9" s="23"/>
      <c r="J9" s="23"/>
      <c r="K9" s="98"/>
    </row>
    <row r="10" spans="1:12" s="3" customFormat="1" ht="15" customHeight="1">
      <c r="A10" s="19" t="s">
        <v>63</v>
      </c>
      <c r="B10" s="19"/>
      <c r="C10" s="17"/>
      <c r="D10" s="17"/>
      <c r="E10" s="17"/>
      <c r="F10" s="19" t="s">
        <v>30</v>
      </c>
      <c r="G10" s="18"/>
      <c r="H10" s="18"/>
      <c r="I10" s="18"/>
      <c r="J10" s="18"/>
      <c r="K10" s="101"/>
      <c r="L10" s="121"/>
    </row>
    <row r="11" spans="1:12" s="3" customFormat="1" ht="15" customHeight="1">
      <c r="A11" s="86" t="s">
        <v>1</v>
      </c>
      <c r="B11" s="19"/>
      <c r="C11" s="18"/>
      <c r="D11" s="17"/>
      <c r="E11" s="17"/>
      <c r="F11" s="20"/>
      <c r="G11" s="221" t="s">
        <v>56</v>
      </c>
      <c r="H11" s="222"/>
      <c r="I11" s="221" t="s">
        <v>2</v>
      </c>
      <c r="J11" s="222"/>
      <c r="K11" s="101"/>
      <c r="L11" s="122" t="s">
        <v>33</v>
      </c>
    </row>
    <row r="12" spans="1:12" s="3" customFormat="1" ht="15" customHeight="1" thickBot="1">
      <c r="A12" s="19"/>
      <c r="B12" s="19"/>
      <c r="C12" s="19" t="s">
        <v>3</v>
      </c>
      <c r="D12" s="17"/>
      <c r="E12" s="17"/>
      <c r="F12" s="21"/>
      <c r="G12" s="106" t="s">
        <v>4</v>
      </c>
      <c r="H12" s="4" t="s">
        <v>5</v>
      </c>
      <c r="I12" s="5" t="s">
        <v>5</v>
      </c>
      <c r="J12" s="112" t="s">
        <v>4</v>
      </c>
      <c r="K12" s="101"/>
      <c r="L12" s="122" t="s">
        <v>32</v>
      </c>
    </row>
    <row r="13" spans="1:12" s="3" customFormat="1" ht="15" customHeight="1" thickTop="1">
      <c r="A13" s="19"/>
      <c r="B13" s="19"/>
      <c r="C13" s="2"/>
      <c r="D13" s="17"/>
      <c r="E13" s="17"/>
      <c r="F13" s="6" t="s">
        <v>6</v>
      </c>
      <c r="G13" s="107">
        <f>$H13*$C$42</f>
        <v>16.32</v>
      </c>
      <c r="H13" s="7">
        <f>IF(D14="Euro pro Std.",C14,C14/((C22*52)/12))</f>
        <v>15</v>
      </c>
      <c r="I13" s="7">
        <f>$J13/$C$42</f>
        <v>22.288602941176467</v>
      </c>
      <c r="J13" s="107">
        <f>C35</f>
        <v>24.25</v>
      </c>
      <c r="K13" s="101"/>
      <c r="L13" s="121" t="s">
        <v>57</v>
      </c>
    </row>
    <row r="14" spans="1:12" s="3" customFormat="1" ht="15" customHeight="1">
      <c r="A14" s="89" t="s">
        <v>6</v>
      </c>
      <c r="B14" s="18"/>
      <c r="C14" s="15">
        <v>15</v>
      </c>
      <c r="D14" s="119" t="s">
        <v>7</v>
      </c>
      <c r="E14" s="42"/>
      <c r="F14" s="6" t="s">
        <v>16</v>
      </c>
      <c r="G14" s="108">
        <f aca="true" t="shared" si="0" ref="G14:G22">$H14*$C$42</f>
        <v>0.16690338461538462</v>
      </c>
      <c r="H14" s="8">
        <f>C21/((52*C22)/12)</f>
        <v>0.15340384615384614</v>
      </c>
      <c r="I14" s="13"/>
      <c r="J14" s="14"/>
      <c r="K14" s="101"/>
      <c r="L14" s="121" t="s">
        <v>31</v>
      </c>
    </row>
    <row r="15" spans="1:12" s="3" customFormat="1" ht="15" customHeight="1">
      <c r="A15" s="18" t="s">
        <v>9</v>
      </c>
      <c r="B15" s="18"/>
      <c r="C15" s="15">
        <v>8</v>
      </c>
      <c r="D15" s="17" t="s">
        <v>10</v>
      </c>
      <c r="E15" s="17"/>
      <c r="F15" s="6" t="s">
        <v>18</v>
      </c>
      <c r="G15" s="108">
        <f t="shared" si="0"/>
        <v>2.1504656588628763</v>
      </c>
      <c r="H15" s="8">
        <f>(H13+H14)*(C23/(260-C23))</f>
        <v>1.9765309364548496</v>
      </c>
      <c r="I15" s="8">
        <f>$J15/$C$42</f>
        <v>1.8573835784313721</v>
      </c>
      <c r="J15" s="108">
        <f>J13*(C36/(260-C36))</f>
        <v>2.020833333333333</v>
      </c>
      <c r="K15" s="101"/>
      <c r="L15" s="121" t="s">
        <v>36</v>
      </c>
    </row>
    <row r="16" spans="1:12" s="3" customFormat="1" ht="15" customHeight="1">
      <c r="A16" s="18" t="s">
        <v>12</v>
      </c>
      <c r="B16" s="18"/>
      <c r="C16" s="15">
        <v>8</v>
      </c>
      <c r="D16" s="17" t="s">
        <v>13</v>
      </c>
      <c r="E16" s="17"/>
      <c r="F16" s="6" t="s">
        <v>20</v>
      </c>
      <c r="G16" s="108">
        <f t="shared" si="0"/>
        <v>0.6594761353846154</v>
      </c>
      <c r="H16" s="8">
        <f>(H13+H14)*(C24/(260-C24))</f>
        <v>0.6061361538461538</v>
      </c>
      <c r="I16" s="8">
        <f>$J16/$C$42</f>
        <v>0.7991929341457699</v>
      </c>
      <c r="J16" s="108">
        <f>J13*(C37/(260-C37))</f>
        <v>0.8695219123505977</v>
      </c>
      <c r="K16" s="101"/>
      <c r="L16" s="121" t="s">
        <v>35</v>
      </c>
    </row>
    <row r="17" spans="1:12" s="3" customFormat="1" ht="15" customHeight="1">
      <c r="A17" s="18" t="s">
        <v>14</v>
      </c>
      <c r="B17" s="18"/>
      <c r="C17" s="15">
        <v>64</v>
      </c>
      <c r="D17" s="17" t="s">
        <v>15</v>
      </c>
      <c r="E17" s="17"/>
      <c r="F17" s="6" t="s">
        <v>22</v>
      </c>
      <c r="G17" s="108">
        <f t="shared" si="0"/>
        <v>1.2864563452575253</v>
      </c>
      <c r="H17" s="9">
        <f>IF(D27="Euro pro Jahr",(H13+H14+H15+H16)*L28/100*1/12,IF(D27="% eines Monatsgehaltes",(H13+H14+H15+H16)*C27/100*1/12,(H13+H14+H15+H16)*C27/100))</f>
        <v>1.1824047290969901</v>
      </c>
      <c r="I17" s="8">
        <f>$J17/$C$42</f>
        <v>2.0787649544794675</v>
      </c>
      <c r="J17" s="108">
        <f>(J13+J15+J16)*(C38/100)*(1/12)</f>
        <v>2.261696270473661</v>
      </c>
      <c r="K17" s="101"/>
      <c r="L17" s="121" t="s">
        <v>7</v>
      </c>
    </row>
    <row r="18" spans="1:12" s="3" customFormat="1" ht="15" customHeight="1">
      <c r="A18" s="27" t="s">
        <v>31</v>
      </c>
      <c r="B18" s="43"/>
      <c r="C18" s="15">
        <v>6</v>
      </c>
      <c r="D18" s="17" t="s">
        <v>15</v>
      </c>
      <c r="E18" s="17"/>
      <c r="F18" s="6" t="s">
        <v>24</v>
      </c>
      <c r="G18" s="108">
        <f t="shared" si="0"/>
        <v>0</v>
      </c>
      <c r="H18" s="9">
        <f>IF(D28="Euro pro Jahr",(H13+H14+H15+H16)*L29/100*1/12,IF(D28="% eines Monatsgehaltes",(H13+H14+H15+H16)*C28/100*1/12,(H13+H14+H15+H16)*C28/100))</f>
        <v>0</v>
      </c>
      <c r="I18" s="48">
        <f>$J18/$C$42</f>
        <v>0</v>
      </c>
      <c r="J18" s="109">
        <f>(J13+J15+J16)*(C39/100)*(1/12)</f>
        <v>0</v>
      </c>
      <c r="K18" s="101"/>
      <c r="L18" s="121" t="s">
        <v>17</v>
      </c>
    </row>
    <row r="19" spans="1:12" s="3" customFormat="1" ht="15" customHeight="1">
      <c r="A19" s="18" t="str">
        <f>IF(AND(A18="          davon Nachtarbeit",C18&gt;0),"          Zuschlag Nachtarbeit",IF(AND(A18="          davon Samstagsarbeit",C18&gt;0),"          Zuschlag Samstagsarbeit",IF(AND(A18="          davon Sonntagsarbeit",C18&gt;0),"          Zuschlag Sonntagsarbeit","")))</f>
        <v>          Zuschlag Nachtarbeit</v>
      </c>
      <c r="B19" s="18"/>
      <c r="C19" s="15">
        <v>5.6</v>
      </c>
      <c r="D19" s="17" t="str">
        <f>IF(C18&gt;0,"Euro pro Stunde","")</f>
        <v>Euro pro Stunde</v>
      </c>
      <c r="E19" s="17"/>
      <c r="F19" s="6" t="s">
        <v>115</v>
      </c>
      <c r="G19" s="108">
        <f t="shared" si="0"/>
        <v>0</v>
      </c>
      <c r="H19" s="47">
        <f>IF(D29="Euro pro Jahr",(H13+H14+H15+H16)*(L30/100)*1/12,IF(D29="% eines Monatsgehaltes",(H13+H14+H15+H16)*(C29/100)*1/12,(H13+H14+H15+H16)*C29/100))</f>
        <v>0</v>
      </c>
      <c r="I19" s="51"/>
      <c r="J19" s="52"/>
      <c r="K19" s="101"/>
      <c r="L19" s="121"/>
    </row>
    <row r="20" spans="1:12" s="3" customFormat="1" ht="15" customHeight="1">
      <c r="A20" s="35" t="s">
        <v>118</v>
      </c>
      <c r="C20" s="15">
        <v>3</v>
      </c>
      <c r="D20" s="3" t="s">
        <v>15</v>
      </c>
      <c r="E20" s="17"/>
      <c r="F20" s="6" t="s">
        <v>116</v>
      </c>
      <c r="G20" s="107">
        <f t="shared" si="0"/>
        <v>1.6080704315719065</v>
      </c>
      <c r="H20" s="47">
        <f>IF(D30="Euro pro Jahr",(H13+H14+H15+H16)*(L31/100)*1/12,IF(D30="% eines Monatsgehaltes",(H13+H14+H15+H16)*(C30/100)*1/12,(H13+H14+H15+H16)*C30/100))</f>
        <v>1.4780059113712376</v>
      </c>
      <c r="I20" s="45"/>
      <c r="J20" s="46"/>
      <c r="K20" s="101"/>
      <c r="L20" s="121"/>
    </row>
    <row r="21" spans="1:12" s="3" customFormat="1" ht="15" customHeight="1">
      <c r="A21" s="35" t="s">
        <v>16</v>
      </c>
      <c r="B21" s="18"/>
      <c r="C21" s="15">
        <v>26.59</v>
      </c>
      <c r="D21" s="17" t="s">
        <v>17</v>
      </c>
      <c r="E21" s="17"/>
      <c r="F21" s="6" t="s">
        <v>8</v>
      </c>
      <c r="G21" s="107">
        <f t="shared" si="0"/>
        <v>7.159040000000001</v>
      </c>
      <c r="H21" s="51">
        <f>C26</f>
        <v>6.58</v>
      </c>
      <c r="I21" s="45"/>
      <c r="J21" s="46"/>
      <c r="K21" s="101"/>
      <c r="L21" s="121"/>
    </row>
    <row r="22" spans="1:12" s="3" customFormat="1" ht="15" customHeight="1">
      <c r="A22" s="18" t="s">
        <v>58</v>
      </c>
      <c r="B22" s="18"/>
      <c r="C22" s="15">
        <v>40</v>
      </c>
      <c r="D22" s="17" t="s">
        <v>19</v>
      </c>
      <c r="E22" s="17"/>
      <c r="F22" s="44" t="s">
        <v>11</v>
      </c>
      <c r="G22" s="109">
        <f t="shared" si="0"/>
        <v>0.05000000000000091</v>
      </c>
      <c r="H22" s="48">
        <f>IF(D25="Euro für die Einsatzdauer",(($C25)-((C16*C43)+(C15*C44))/C42)/C17,((C25*C15)-((C43*C16+C44*C15)/C42))/C17)</f>
        <v>0.04595588235294201</v>
      </c>
      <c r="I22" s="45"/>
      <c r="J22" s="46"/>
      <c r="K22" s="101"/>
      <c r="L22" s="121"/>
    </row>
    <row r="23" spans="1:12" s="3" customFormat="1" ht="15" customHeight="1" thickBot="1">
      <c r="A23" s="89" t="s">
        <v>21</v>
      </c>
      <c r="B23" s="18"/>
      <c r="C23" s="15">
        <v>30</v>
      </c>
      <c r="D23" s="17" t="s">
        <v>10</v>
      </c>
      <c r="E23" s="17"/>
      <c r="F23" s="39" t="s">
        <v>25</v>
      </c>
      <c r="G23" s="110">
        <f>SUM(G$13:G$22)</f>
        <v>29.400411955692313</v>
      </c>
      <c r="H23" s="49">
        <f>SUM(H$13:H$22)</f>
        <v>27.02243745927602</v>
      </c>
      <c r="I23" s="50">
        <f>SUM(I$13:I$18)-I14</f>
        <v>27.023944408233074</v>
      </c>
      <c r="J23" s="113">
        <f>SUM(J$13:J$18)-J14</f>
        <v>29.40205151615759</v>
      </c>
      <c r="K23" s="101"/>
      <c r="L23" s="121"/>
    </row>
    <row r="24" spans="1:12" s="3" customFormat="1" ht="15" customHeight="1" thickTop="1">
      <c r="A24" s="131" t="s">
        <v>23</v>
      </c>
      <c r="B24" s="18"/>
      <c r="C24" s="15">
        <v>10</v>
      </c>
      <c r="D24" s="17" t="s">
        <v>10</v>
      </c>
      <c r="E24" s="17"/>
      <c r="F24" s="41"/>
      <c r="G24" s="41"/>
      <c r="H24" s="41"/>
      <c r="I24" s="41"/>
      <c r="J24" s="41"/>
      <c r="K24" s="101"/>
      <c r="L24" s="121"/>
    </row>
    <row r="25" spans="1:12" s="3" customFormat="1" ht="15" customHeight="1">
      <c r="A25" s="35" t="s">
        <v>11</v>
      </c>
      <c r="B25" s="18"/>
      <c r="C25" s="15">
        <v>1400</v>
      </c>
      <c r="D25" s="119" t="s">
        <v>59</v>
      </c>
      <c r="E25" s="17"/>
      <c r="F25" s="18"/>
      <c r="G25" s="129" t="s">
        <v>4</v>
      </c>
      <c r="H25" s="129" t="s">
        <v>5</v>
      </c>
      <c r="I25" s="41"/>
      <c r="J25" s="41"/>
      <c r="K25" s="101"/>
      <c r="L25" s="121"/>
    </row>
    <row r="26" spans="1:12" s="3" customFormat="1" ht="15" customHeight="1">
      <c r="A26" s="35" t="s">
        <v>8</v>
      </c>
      <c r="B26" s="18"/>
      <c r="C26" s="15">
        <v>6.58</v>
      </c>
      <c r="D26" s="17" t="s">
        <v>7</v>
      </c>
      <c r="E26" s="17"/>
      <c r="F26" s="10" t="s">
        <v>28</v>
      </c>
      <c r="G26" s="111">
        <f>G23-J23</f>
        <v>-0.0016395604652785778</v>
      </c>
      <c r="H26" s="11">
        <f>H23-I23</f>
        <v>-0.0015069489570542771</v>
      </c>
      <c r="I26" s="41"/>
      <c r="J26" s="18"/>
      <c r="K26" s="101"/>
      <c r="L26" s="121" t="s">
        <v>59</v>
      </c>
    </row>
    <row r="27" spans="1:12" s="3" customFormat="1" ht="15" customHeight="1">
      <c r="A27" s="35" t="s">
        <v>22</v>
      </c>
      <c r="B27" s="18"/>
      <c r="C27" s="15">
        <v>80</v>
      </c>
      <c r="D27" s="119" t="s">
        <v>33</v>
      </c>
      <c r="E27" s="17"/>
      <c r="F27" s="29"/>
      <c r="G27" s="29"/>
      <c r="H27" s="29"/>
      <c r="I27" s="41"/>
      <c r="J27" s="18"/>
      <c r="K27" s="101"/>
      <c r="L27" s="121" t="s">
        <v>60</v>
      </c>
    </row>
    <row r="28" spans="1:12" s="3" customFormat="1" ht="15" customHeight="1">
      <c r="A28" s="35" t="s">
        <v>24</v>
      </c>
      <c r="B28" s="18"/>
      <c r="C28" s="15">
        <v>0</v>
      </c>
      <c r="D28" s="119" t="s">
        <v>33</v>
      </c>
      <c r="E28" s="17"/>
      <c r="F28" s="19" t="str">
        <f>IF(AND(C18&gt;0,A18="          davon Nachtarbeit"),"Vergleich Stundenlohn für Einsätze in der Nacht:",IF(AND(C18&gt;0,A18="          davon Samstagsarbeit"),"Vergleich Stundenlohn für Einsätze an Samstagen:",IF(AND(C18&gt;0,A18="          davon Sonntagsarbeit"),"Vergleich Stundenlohn für Einsätze an Sonntagen:","")))</f>
        <v>Vergleich Stundenlohn für Einsätze in der Nacht:</v>
      </c>
      <c r="G28" s="18"/>
      <c r="H28" s="18"/>
      <c r="I28" s="18"/>
      <c r="J28" s="18"/>
      <c r="K28" s="101"/>
      <c r="L28" s="123">
        <f>C27/C31*100</f>
        <v>3.076923076923077</v>
      </c>
    </row>
    <row r="29" spans="1:12" s="3" customFormat="1" ht="15" customHeight="1">
      <c r="A29" s="35" t="s">
        <v>115</v>
      </c>
      <c r="B29" s="18"/>
      <c r="C29" s="15">
        <v>0</v>
      </c>
      <c r="D29" s="119" t="s">
        <v>33</v>
      </c>
      <c r="E29" s="17"/>
      <c r="F29" s="18"/>
      <c r="G29" s="223" t="str">
        <f>IF(C18&gt;0,"Ist Herkunftsland","")</f>
        <v>Ist Herkunftsland</v>
      </c>
      <c r="H29" s="223"/>
      <c r="I29" s="223" t="str">
        <f>IF(C18&gt;0,"Soll Schweiz","")</f>
        <v>Soll Schweiz</v>
      </c>
      <c r="J29" s="223"/>
      <c r="K29" s="101"/>
      <c r="L29" s="123">
        <f>C28/C31*100</f>
        <v>0</v>
      </c>
    </row>
    <row r="30" spans="1:12" s="3" customFormat="1" ht="15" customHeight="1">
      <c r="A30" s="35" t="s">
        <v>116</v>
      </c>
      <c r="B30" s="18"/>
      <c r="C30" s="15">
        <v>2600</v>
      </c>
      <c r="D30" s="120" t="s">
        <v>32</v>
      </c>
      <c r="E30" s="17"/>
      <c r="F30" s="18" t="str">
        <f>IF(C18&gt;0,"Grundlohn","")</f>
        <v>Grundlohn</v>
      </c>
      <c r="G30" s="87">
        <f>IF(C18&gt;0,$H30*$C$42,"")</f>
        <v>16.32</v>
      </c>
      <c r="H30" s="88">
        <f>IF(AND(C18&gt;0,D14="Euro pro Std."),C14,IF(AND(C18&gt;0,D14="Euro pro Monat"),C14/((C22*52)/12),""))</f>
        <v>15</v>
      </c>
      <c r="I30" s="81">
        <f>IF(C18&gt;0,$J30/$C$42,"")</f>
        <v>22.288602941176467</v>
      </c>
      <c r="J30" s="87">
        <f>IF(C18&gt;0,C35,"")</f>
        <v>24.25</v>
      </c>
      <c r="K30" s="101"/>
      <c r="L30" s="123">
        <f>C29/C31*100</f>
        <v>0</v>
      </c>
    </row>
    <row r="31" spans="1:12" s="3" customFormat="1" ht="15" customHeight="1">
      <c r="A31" s="18" t="str">
        <f>IF(OR(D27="Euro pro Jahr",D28="Euro pro Jahr",D29="Euro pro Jahr",D30="Euro pro Jahr"),"Monatslohn","")</f>
        <v>Monatslohn</v>
      </c>
      <c r="B31" s="18"/>
      <c r="C31" s="15">
        <v>2600</v>
      </c>
      <c r="D31" s="17" t="str">
        <f>IF(A31="Monatslohn","Euro pro Monat","")</f>
        <v>Euro pro Monat</v>
      </c>
      <c r="E31" s="18"/>
      <c r="F31" s="18" t="str">
        <f>IF(A19="          Zuschlag Nachtarbeit","Zulage Nachtarbeit",IF(A19="          Zuschlag Samstagsarbeit","Zulage Samstagsarbeit",IF(A19="          Zuschlag Sonntagsarbeit","Zulage Sonntagsarbeit","")))</f>
        <v>Zulage Nachtarbeit</v>
      </c>
      <c r="G31" s="88">
        <f>IF(C18&gt;0,H31*C42,"")</f>
        <v>6.0928</v>
      </c>
      <c r="H31" s="88">
        <f>IF(C18&gt;0,C19,"")</f>
        <v>5.6</v>
      </c>
      <c r="I31" s="88">
        <f>IF(C18&gt;0,$J$31/$C$42,"")</f>
        <v>5.572150735294117</v>
      </c>
      <c r="J31" s="87">
        <f>IF(AND(C18&gt;0,C40=""),J30*B40,IF(C18&gt;0,J30*C40/100,""))</f>
        <v>6.0625</v>
      </c>
      <c r="K31" s="101"/>
      <c r="L31" s="123">
        <f>C30/C31*100</f>
        <v>100</v>
      </c>
    </row>
    <row r="32" spans="1:12" s="3" customFormat="1" ht="15" customHeight="1">
      <c r="A32" s="18"/>
      <c r="B32" s="19"/>
      <c r="C32" s="18"/>
      <c r="D32" s="18"/>
      <c r="E32" s="17"/>
      <c r="F32" s="18" t="str">
        <f>IF(C18&gt;0,"Vermögenswirksame Leistungen","")</f>
        <v>Vermögenswirksame Leistungen</v>
      </c>
      <c r="G32" s="88">
        <f>IF(C18&gt;0,H32*C$42,"")</f>
        <v>0.16690338461538462</v>
      </c>
      <c r="H32" s="88">
        <f>IF(C18&gt;0,C21/((52*C22)/12),"")</f>
        <v>0.15340384615384614</v>
      </c>
      <c r="I32" s="237"/>
      <c r="J32" s="237"/>
      <c r="K32" s="101"/>
      <c r="L32" s="121"/>
    </row>
    <row r="33" spans="1:12" s="3" customFormat="1" ht="15" customHeight="1">
      <c r="A33" s="19" t="s">
        <v>64</v>
      </c>
      <c r="B33" s="18"/>
      <c r="C33" s="28"/>
      <c r="D33" s="17"/>
      <c r="E33" s="17"/>
      <c r="F33" s="18" t="str">
        <f>IF(C18&gt;0,"Ferienentschädigung","")</f>
        <v>Ferienentschädigung</v>
      </c>
      <c r="G33" s="88">
        <f>IF(C18&gt;0,$H33*$C$42,"")</f>
        <v>2.1504656588628763</v>
      </c>
      <c r="H33" s="88">
        <f>IF(C18&gt;0,(H30+H32)*(C23/(260-C23)),"")</f>
        <v>1.9765309364548496</v>
      </c>
      <c r="I33" s="88">
        <f>IF(C18&gt;0,$J33/$C$42,"")</f>
        <v>1.8573835784313721</v>
      </c>
      <c r="J33" s="87">
        <f>IF(C18&gt;0,(J30)*(C36/(260-C36)),"")</f>
        <v>2.020833333333333</v>
      </c>
      <c r="K33" s="101"/>
      <c r="L33" s="121"/>
    </row>
    <row r="34" spans="1:11" s="3" customFormat="1" ht="15" customHeight="1">
      <c r="A34" s="18"/>
      <c r="B34" s="18"/>
      <c r="C34" s="28"/>
      <c r="D34" s="17"/>
      <c r="E34" s="17"/>
      <c r="F34" s="18" t="str">
        <f>IF(C18&gt;0,"Feiertagsentschädigung","")</f>
        <v>Feiertagsentschädigung</v>
      </c>
      <c r="G34" s="88">
        <f>IF(C18&gt;0,$H34*$C$42,"")</f>
        <v>0.6594761353846154</v>
      </c>
      <c r="H34" s="88">
        <f>IF(C18&gt;0,(H30+H32)*(C24/(260-C24)),"")</f>
        <v>0.6061361538461538</v>
      </c>
      <c r="I34" s="88">
        <f>IF(C18&gt;0,$J34/$C$42,"")</f>
        <v>0.7991929341457699</v>
      </c>
      <c r="J34" s="87">
        <f>IF(C18&gt;0,(J30)*(C37/(260-C37)),"")</f>
        <v>0.8695219123505977</v>
      </c>
      <c r="K34" s="102"/>
    </row>
    <row r="35" spans="1:11" s="3" customFormat="1" ht="15" customHeight="1">
      <c r="A35" s="35" t="s">
        <v>29</v>
      </c>
      <c r="B35" s="18"/>
      <c r="C35" s="15">
        <v>24.25</v>
      </c>
      <c r="D35" s="17" t="s">
        <v>4</v>
      </c>
      <c r="E35" s="17"/>
      <c r="F35" s="18" t="str">
        <f>IF(C18&gt;0,"13. Monatslohn","")</f>
        <v>13. Monatslohn</v>
      </c>
      <c r="G35" s="88">
        <f>IF(C18&gt;0,$H35*$C$42,"")</f>
        <v>1.2864563452575253</v>
      </c>
      <c r="H35" s="87">
        <f>IF(C18&gt;0,IF(D27="Euro pro Jahr",(H13+H14+H15+H16)*L28/100*1/12,IF(D27="% eines Monatsgehaltes",(H13+H14+H15+H16)*C27/100*1/12,(H13+H14+H15+H16)*C27/100)),"")</f>
        <v>1.1824047290969901</v>
      </c>
      <c r="I35" s="88">
        <f>IF(C18&gt;0,$J35/$C$42,"")</f>
        <v>2.0787649544794675</v>
      </c>
      <c r="J35" s="87">
        <f>IF(C18&gt;0,(SUM(J30:J34)-J31)*(C38/100)*(1/12),"")</f>
        <v>2.261696270473661</v>
      </c>
      <c r="K35" s="102"/>
    </row>
    <row r="36" spans="1:11" s="3" customFormat="1" ht="15" customHeight="1">
      <c r="A36" s="35" t="s">
        <v>21</v>
      </c>
      <c r="B36" s="18"/>
      <c r="C36" s="15">
        <v>20</v>
      </c>
      <c r="D36" s="17" t="s">
        <v>10</v>
      </c>
      <c r="E36" s="17"/>
      <c r="F36" s="18" t="str">
        <f>IF(C18&gt;0,"14. Monatslohn","")</f>
        <v>14. Monatslohn</v>
      </c>
      <c r="G36" s="88">
        <f>IF(C18&gt;0,$H36*$C$42,"")</f>
        <v>0</v>
      </c>
      <c r="H36" s="87">
        <f>IF(C18&gt;0,IF(D28="Euro pro Jahr",(H13+H14+H15+H16)*L29/100*1/12,IF(D28="% eines Monatsgehaltes",(H13+H14+H15+H16)*C28/100*1/12,(H13+H14+H15+H16)*C28/100)),"")</f>
        <v>0</v>
      </c>
      <c r="I36" s="88">
        <f>IF(C18&gt;0,$J36/$C$42,"")</f>
        <v>0</v>
      </c>
      <c r="J36" s="87">
        <f>IF(C18&gt;0,(SUM(J30:J34)-J31)*(C39/100)*(1/12),"")</f>
        <v>0</v>
      </c>
      <c r="K36" s="102"/>
    </row>
    <row r="37" spans="1:11" s="3" customFormat="1" ht="15" customHeight="1">
      <c r="A37" s="35" t="s">
        <v>23</v>
      </c>
      <c r="B37" s="18"/>
      <c r="C37" s="15">
        <v>9</v>
      </c>
      <c r="D37" s="17" t="s">
        <v>10</v>
      </c>
      <c r="E37" s="17"/>
      <c r="F37" s="18" t="str">
        <f>IF(C18&gt;0,"Urlaubsgeld","")</f>
        <v>Urlaubsgeld</v>
      </c>
      <c r="G37" s="88">
        <f>IF(C18&gt;0,$H37*$C$42,"")</f>
        <v>0</v>
      </c>
      <c r="H37" s="87">
        <f>IF(C18&gt;0,IF(D29="Euro pro Jahr",(H13+H14+H15+H16)*L30/100*1/12,IF(D29="% eines Monatsgehaltes",(H13+H14+H15+H16)*C29/100*1/12,(H13+H14+H15+H16)*C29/100)),"")</f>
        <v>0</v>
      </c>
      <c r="I37" s="129"/>
      <c r="J37" s="129"/>
      <c r="K37" s="102"/>
    </row>
    <row r="38" spans="1:11" s="3" customFormat="1" ht="15" customHeight="1">
      <c r="A38" s="35" t="s">
        <v>22</v>
      </c>
      <c r="B38" s="18"/>
      <c r="C38" s="15">
        <v>100</v>
      </c>
      <c r="D38" s="17" t="s">
        <v>26</v>
      </c>
      <c r="E38" s="17"/>
      <c r="F38" s="18" t="str">
        <f>IF(C18&gt;0,"Weihnachtsgeld","")</f>
        <v>Weihnachtsgeld</v>
      </c>
      <c r="G38" s="88">
        <f>IF(C18&gt;0,$H38*$C$42,"")</f>
        <v>1.6080704315719065</v>
      </c>
      <c r="H38" s="87">
        <f>IF(C18&gt;0,IF(D30="Euro pro Jahr",(H13+H14+H15+H16)*L31/100*1/12,IF(D30="% eines Monatsgehaltes",(H13+H14+H15+H16)*C30/100*1/12,(H13+H14+H15+H16)*C30/100)),"")</f>
        <v>1.4780059113712376</v>
      </c>
      <c r="I38" s="129"/>
      <c r="J38" s="129"/>
      <c r="K38" s="102"/>
    </row>
    <row r="39" spans="1:11" s="3" customFormat="1" ht="15" customHeight="1">
      <c r="A39" s="35" t="s">
        <v>24</v>
      </c>
      <c r="C39" s="15">
        <v>0</v>
      </c>
      <c r="D39" s="17" t="s">
        <v>26</v>
      </c>
      <c r="E39" s="17"/>
      <c r="F39" s="18" t="str">
        <f>IF(C18&gt;0,"Entsendezulage","")</f>
        <v>Entsendezulage</v>
      </c>
      <c r="G39" s="88">
        <f>IF(C18&gt;0,$H39*$C$42,"")</f>
        <v>7.159040000000001</v>
      </c>
      <c r="H39" s="88">
        <f>IF(C18&gt;0,C26,"")</f>
        <v>6.58</v>
      </c>
      <c r="I39" s="87"/>
      <c r="J39" s="87"/>
      <c r="K39" s="102"/>
    </row>
    <row r="40" spans="1:14" s="12" customFormat="1" ht="15">
      <c r="A40" s="35" t="str">
        <f>IF(AND(A18="          davon Nachtarbeit",C18&gt;0),"Zuschlag Nachtarbeit",IF(AND(A18="          davon Samstagsarbeit",C18&gt;0),"Zuschlag Samstagsarbeit",IF(AND(A18="          davon Sonntagsarbeit",C18&gt;0),"Zuschlag Sonntagsarbeit","")))</f>
        <v>Zuschlag Nachtarbeit</v>
      </c>
      <c r="B40" s="36">
        <f>IF(A40="Zuschlag Nachtarbeit",0.25,IF(A40="Zuschlag Samstagsarbeit",0,IF(A40="Zuschlag Sonntagsarbeit",0.5,"")))</f>
        <v>0.25</v>
      </c>
      <c r="C40" s="124"/>
      <c r="D40" s="40" t="str">
        <f>IF(C18&gt;0,"%","")</f>
        <v>%</v>
      </c>
      <c r="E40" s="17"/>
      <c r="F40" s="18" t="str">
        <f>IF(C18&gt;0,"Entsendeentschädigung","")</f>
        <v>Entsendeentschädigung</v>
      </c>
      <c r="G40" s="88">
        <f>IF(C18&gt;0,H40*C42,"")</f>
        <v>0.05000000000000091</v>
      </c>
      <c r="H40" s="88">
        <f>IF(AND(C18&gt;0,D25="Euro für die Einsatzdauer"),(($C$25)-(((C16*C43)+(C15*C44))/C42))/C17,IF(AND(C18&gt;0,D25="Euro pro Tag"),((C25*C15)-((C43*C16+C44*C15)/C42))/C17,""))</f>
        <v>0.04595588235294201</v>
      </c>
      <c r="I40" s="87"/>
      <c r="J40" s="87"/>
      <c r="K40" s="102"/>
      <c r="L40" s="3"/>
      <c r="M40" s="3"/>
      <c r="N40" s="3"/>
    </row>
    <row r="41" spans="1:11" ht="15" customHeight="1">
      <c r="A41" s="25"/>
      <c r="B41" s="18"/>
      <c r="C41" s="25"/>
      <c r="D41" s="40"/>
      <c r="E41" s="22"/>
      <c r="F41" s="18" t="str">
        <f>IF(C18&gt;0,"Bruttostundenlohn","")</f>
        <v>Bruttostundenlohn</v>
      </c>
      <c r="G41" s="30">
        <f>IF(C18&gt;0,SUM(G30:G40),"")</f>
        <v>35.49321195569232</v>
      </c>
      <c r="H41" s="30">
        <f>IF(C18&gt;0,SUM(H30:H40),"")</f>
        <v>32.62243745927602</v>
      </c>
      <c r="I41" s="30">
        <f>IF(C18&gt;0,SUM(I30:I36),"")</f>
        <v>32.596095143527194</v>
      </c>
      <c r="J41" s="31">
        <f>IF(C18&gt;0,SUM(J30:J36),"")</f>
        <v>35.4645515161576</v>
      </c>
      <c r="K41" s="98"/>
    </row>
    <row r="42" spans="1:11" ht="15" customHeight="1">
      <c r="A42" s="216" t="s">
        <v>70</v>
      </c>
      <c r="B42" s="132" t="s">
        <v>163</v>
      </c>
      <c r="C42" s="55">
        <v>1.088</v>
      </c>
      <c r="D42" s="17" t="s">
        <v>27</v>
      </c>
      <c r="E42" s="22"/>
      <c r="F42" s="23"/>
      <c r="G42" s="23"/>
      <c r="H42" s="23"/>
      <c r="I42" s="23"/>
      <c r="J42" s="23"/>
      <c r="K42" s="98"/>
    </row>
    <row r="43" spans="1:11" ht="15" customHeight="1">
      <c r="A43" s="35" t="s">
        <v>113</v>
      </c>
      <c r="B43" s="18"/>
      <c r="C43" s="15">
        <v>150</v>
      </c>
      <c r="D43" s="17" t="s">
        <v>4</v>
      </c>
      <c r="E43" s="22"/>
      <c r="F43" s="18"/>
      <c r="G43" s="129" t="str">
        <f>IF(C18&gt;0,"CHF","")</f>
        <v>CHF</v>
      </c>
      <c r="H43" s="129" t="str">
        <f>IF(C18&gt;0,"Euro","")</f>
        <v>Euro</v>
      </c>
      <c r="I43" s="23"/>
      <c r="J43" s="23"/>
      <c r="K43" s="98"/>
    </row>
    <row r="44" spans="1:11" ht="15" customHeight="1">
      <c r="A44" s="35" t="s">
        <v>114</v>
      </c>
      <c r="B44" s="25"/>
      <c r="C44" s="16">
        <v>40</v>
      </c>
      <c r="D44" s="17" t="s">
        <v>4</v>
      </c>
      <c r="E44" s="22"/>
      <c r="F44" s="32" t="str">
        <f>IF(AND(C18&gt;0,A18="          davon Nachtarbeit"),"Differenz Bruttostundenlohn bei Nachtarbeit",IF(AND(C18&gt;0,A18="          davon Samstagsarbeit"),"Differenz Bruttostundenlohn bei Samstagsarbeit",IF(AND(C18&gt;0,A18="          davon Sonntagsarbeit"),"Differenz Bruttostundenlohn bei Sonntagsarbeit","")))</f>
        <v>Differenz Bruttostundenlohn bei Nachtarbeit</v>
      </c>
      <c r="G44" s="33">
        <f>IF(C18&gt;0,G41-J41,"")</f>
        <v>0.028660439534718307</v>
      </c>
      <c r="H44" s="34">
        <f>IF(C18&gt;0,H41-I41,"")</f>
        <v>0.026342315748827616</v>
      </c>
      <c r="I44" s="17"/>
      <c r="J44" s="17"/>
      <c r="K44" s="98"/>
    </row>
    <row r="45" spans="1:11" ht="14.25" customHeight="1">
      <c r="A45" s="25"/>
      <c r="B45" s="25"/>
      <c r="C45" s="25"/>
      <c r="D45" s="22"/>
      <c r="E45" s="22"/>
      <c r="F45" s="23"/>
      <c r="G45" s="23"/>
      <c r="H45" s="23"/>
      <c r="I45" s="23"/>
      <c r="J45" s="23"/>
      <c r="K45" s="98"/>
    </row>
    <row r="46" spans="1:11" s="37" customFormat="1" ht="22.5" customHeight="1">
      <c r="A46" s="25"/>
      <c r="B46" s="17"/>
      <c r="C46" s="25"/>
      <c r="D46" s="22"/>
      <c r="E46" s="17"/>
      <c r="F46" s="18"/>
      <c r="G46" s="129" t="s">
        <v>4</v>
      </c>
      <c r="H46" s="129" t="s">
        <v>5</v>
      </c>
      <c r="I46" s="23"/>
      <c r="J46" s="23"/>
      <c r="K46" s="103"/>
    </row>
    <row r="47" spans="1:11" s="37" customFormat="1" ht="15.75" customHeight="1">
      <c r="A47" s="17"/>
      <c r="C47" s="25"/>
      <c r="D47" s="22"/>
      <c r="E47" s="17"/>
      <c r="F47" s="10" t="s">
        <v>34</v>
      </c>
      <c r="G47" s="111">
        <f>IF(C18&gt;0,G26*(C17-C18)+G44*C18,G26*C17)</f>
        <v>0.07686813022215233</v>
      </c>
      <c r="H47" s="80">
        <f>IF(C18&gt;0,H26*(C17-C18)+H44*C18,H26*C17)</f>
        <v>0.07065085498381762</v>
      </c>
      <c r="I47" s="23"/>
      <c r="J47" s="23"/>
      <c r="K47" s="103"/>
    </row>
    <row r="48" spans="1:11" s="37" customFormat="1" ht="24" customHeight="1">
      <c r="A48" s="19" t="s">
        <v>37</v>
      </c>
      <c r="B48" s="17"/>
      <c r="C48" s="17"/>
      <c r="D48" s="17"/>
      <c r="E48" s="126"/>
      <c r="F48" s="17"/>
      <c r="G48" s="17"/>
      <c r="H48" s="17"/>
      <c r="I48" s="23"/>
      <c r="J48" s="23"/>
      <c r="K48" s="127"/>
    </row>
    <row r="49" spans="1:13" s="37" customFormat="1" ht="19.5" customHeight="1">
      <c r="A49" s="26" t="s">
        <v>65</v>
      </c>
      <c r="B49" s="230" t="s">
        <v>66</v>
      </c>
      <c r="C49" s="230"/>
      <c r="D49" s="230"/>
      <c r="E49" s="230"/>
      <c r="F49" s="230"/>
      <c r="G49" s="230"/>
      <c r="H49" s="230"/>
      <c r="I49" s="230"/>
      <c r="J49" s="230"/>
      <c r="K49" s="127"/>
      <c r="L49" s="2"/>
      <c r="M49" s="2"/>
    </row>
    <row r="50" spans="1:13" s="37" customFormat="1" ht="38.25" customHeight="1">
      <c r="A50" s="91" t="s">
        <v>38</v>
      </c>
      <c r="B50" s="230" t="s">
        <v>39</v>
      </c>
      <c r="C50" s="230"/>
      <c r="D50" s="230"/>
      <c r="E50" s="230"/>
      <c r="F50" s="230"/>
      <c r="G50" s="230"/>
      <c r="H50" s="230"/>
      <c r="I50" s="230"/>
      <c r="J50" s="230"/>
      <c r="K50" s="125"/>
      <c r="L50" s="2"/>
      <c r="M50" s="2"/>
    </row>
    <row r="51" spans="1:13" s="37" customFormat="1" ht="80.25" customHeight="1">
      <c r="A51" s="92"/>
      <c r="B51" s="230" t="s">
        <v>61</v>
      </c>
      <c r="C51" s="230"/>
      <c r="D51" s="230"/>
      <c r="E51" s="230"/>
      <c r="F51" s="230"/>
      <c r="G51" s="230"/>
      <c r="H51" s="230"/>
      <c r="I51" s="230"/>
      <c r="J51" s="230"/>
      <c r="K51" s="127"/>
      <c r="L51" s="2"/>
      <c r="M51" s="2"/>
    </row>
    <row r="52" spans="1:13" s="37" customFormat="1" ht="63" customHeight="1">
      <c r="A52" s="91" t="s">
        <v>40</v>
      </c>
      <c r="B52" s="235" t="s">
        <v>41</v>
      </c>
      <c r="C52" s="235"/>
      <c r="D52" s="235"/>
      <c r="E52" s="235"/>
      <c r="F52" s="235"/>
      <c r="G52" s="235"/>
      <c r="H52" s="235"/>
      <c r="I52" s="235"/>
      <c r="J52" s="235"/>
      <c r="K52" s="125"/>
      <c r="L52" s="2"/>
      <c r="M52" s="2"/>
    </row>
    <row r="53" spans="1:13" s="37" customFormat="1" ht="180.75" customHeight="1">
      <c r="A53" s="91" t="s">
        <v>42</v>
      </c>
      <c r="B53" s="226" t="s">
        <v>121</v>
      </c>
      <c r="C53" s="226"/>
      <c r="D53" s="226"/>
      <c r="E53" s="226"/>
      <c r="F53" s="226"/>
      <c r="G53" s="226"/>
      <c r="H53" s="226"/>
      <c r="I53" s="226"/>
      <c r="J53" s="226"/>
      <c r="K53" s="227"/>
      <c r="L53" s="118"/>
      <c r="M53" s="2"/>
    </row>
    <row r="54" spans="1:13" s="37" customFormat="1" ht="48.75" customHeight="1">
      <c r="A54" s="93"/>
      <c r="B54" s="232" t="s">
        <v>43</v>
      </c>
      <c r="C54" s="233"/>
      <c r="D54" s="233"/>
      <c r="E54" s="233"/>
      <c r="F54" s="233"/>
      <c r="G54" s="233"/>
      <c r="H54" s="233"/>
      <c r="I54" s="233"/>
      <c r="J54" s="233"/>
      <c r="K54" s="234"/>
      <c r="L54" s="2"/>
      <c r="M54" s="2"/>
    </row>
    <row r="55" spans="1:13" s="37" customFormat="1" ht="58.5" customHeight="1">
      <c r="A55" s="91" t="s">
        <v>44</v>
      </c>
      <c r="B55" s="228" t="s">
        <v>45</v>
      </c>
      <c r="C55" s="228"/>
      <c r="D55" s="228"/>
      <c r="E55" s="228"/>
      <c r="F55" s="228"/>
      <c r="G55" s="228"/>
      <c r="H55" s="228"/>
      <c r="I55" s="228"/>
      <c r="J55" s="228"/>
      <c r="K55" s="229"/>
      <c r="L55" s="2"/>
      <c r="M55" s="2"/>
    </row>
    <row r="56" spans="1:13" s="37" customFormat="1" ht="39" customHeight="1">
      <c r="A56" s="91" t="s">
        <v>46</v>
      </c>
      <c r="B56" s="230" t="s">
        <v>62</v>
      </c>
      <c r="C56" s="230"/>
      <c r="D56" s="230"/>
      <c r="E56" s="230"/>
      <c r="F56" s="230"/>
      <c r="G56" s="230"/>
      <c r="H56" s="230"/>
      <c r="I56" s="230"/>
      <c r="J56" s="230"/>
      <c r="K56" s="231"/>
      <c r="L56" s="2"/>
      <c r="M56" s="2"/>
    </row>
    <row r="57" spans="1:13" s="37" customFormat="1" ht="30.75" customHeight="1">
      <c r="A57" s="93"/>
      <c r="B57" s="230" t="s">
        <v>47</v>
      </c>
      <c r="C57" s="230"/>
      <c r="D57" s="230"/>
      <c r="E57" s="230"/>
      <c r="F57" s="230"/>
      <c r="G57" s="230"/>
      <c r="H57" s="230"/>
      <c r="I57" s="230"/>
      <c r="J57" s="230"/>
      <c r="K57" s="231"/>
      <c r="L57" s="2"/>
      <c r="M57" s="2"/>
    </row>
    <row r="58" spans="1:13" s="37" customFormat="1" ht="51.75" customHeight="1">
      <c r="A58" s="93"/>
      <c r="B58" s="230" t="s">
        <v>48</v>
      </c>
      <c r="C58" s="230"/>
      <c r="D58" s="230"/>
      <c r="E58" s="230"/>
      <c r="F58" s="230"/>
      <c r="G58" s="230"/>
      <c r="H58" s="230"/>
      <c r="I58" s="230"/>
      <c r="J58" s="230"/>
      <c r="K58" s="231"/>
      <c r="L58" s="2"/>
      <c r="M58" s="2"/>
    </row>
    <row r="59" spans="1:13" s="37" customFormat="1" ht="32.25" customHeight="1">
      <c r="A59" s="91" t="s">
        <v>49</v>
      </c>
      <c r="B59" s="235" t="s">
        <v>50</v>
      </c>
      <c r="C59" s="235"/>
      <c r="D59" s="235"/>
      <c r="E59" s="235"/>
      <c r="F59" s="235"/>
      <c r="G59" s="235"/>
      <c r="H59" s="235"/>
      <c r="I59" s="235"/>
      <c r="J59" s="235"/>
      <c r="K59" s="236"/>
      <c r="L59" s="2"/>
      <c r="M59" s="2"/>
    </row>
    <row r="60" spans="1:13" s="37" customFormat="1" ht="101.25" customHeight="1">
      <c r="A60" s="91" t="s">
        <v>51</v>
      </c>
      <c r="B60" s="230" t="s">
        <v>122</v>
      </c>
      <c r="C60" s="230"/>
      <c r="D60" s="230"/>
      <c r="E60" s="230"/>
      <c r="F60" s="230"/>
      <c r="G60" s="230"/>
      <c r="H60" s="230"/>
      <c r="I60" s="230"/>
      <c r="J60" s="230"/>
      <c r="K60" s="231"/>
      <c r="L60" s="2"/>
      <c r="M60" s="2"/>
    </row>
    <row r="61" spans="1:13" s="37" customFormat="1" ht="36" customHeight="1">
      <c r="A61" s="91" t="s">
        <v>52</v>
      </c>
      <c r="B61" s="235" t="s">
        <v>53</v>
      </c>
      <c r="C61" s="235"/>
      <c r="D61" s="235"/>
      <c r="E61" s="235"/>
      <c r="F61" s="235"/>
      <c r="G61" s="235"/>
      <c r="H61" s="235"/>
      <c r="I61" s="235"/>
      <c r="J61" s="235"/>
      <c r="K61" s="236"/>
      <c r="L61" s="2"/>
      <c r="M61" s="2"/>
    </row>
    <row r="62" spans="1:13" s="37" customFormat="1" ht="45" customHeight="1">
      <c r="A62" s="91" t="s">
        <v>54</v>
      </c>
      <c r="B62" s="226" t="s">
        <v>55</v>
      </c>
      <c r="C62" s="226"/>
      <c r="D62" s="226"/>
      <c r="E62" s="226"/>
      <c r="F62" s="226"/>
      <c r="G62" s="226"/>
      <c r="H62" s="226"/>
      <c r="I62" s="226"/>
      <c r="J62" s="226"/>
      <c r="K62" s="227"/>
      <c r="L62" s="2"/>
      <c r="M62" s="2"/>
    </row>
    <row r="63" spans="1:11" ht="15">
      <c r="A63" s="94"/>
      <c r="B63" s="95"/>
      <c r="C63" s="96"/>
      <c r="D63" s="96"/>
      <c r="E63" s="95"/>
      <c r="F63" s="130"/>
      <c r="G63" s="130"/>
      <c r="H63" s="130"/>
      <c r="I63" s="130"/>
      <c r="J63" s="130"/>
      <c r="K63" s="104"/>
    </row>
    <row r="64" spans="1:10" ht="15">
      <c r="A64" s="24"/>
      <c r="B64" s="24"/>
      <c r="C64" s="24"/>
      <c r="D64" s="24"/>
      <c r="E64" s="24"/>
      <c r="F64" s="126"/>
      <c r="G64" s="126"/>
      <c r="H64" s="126"/>
      <c r="I64" s="126"/>
      <c r="J64" s="126"/>
    </row>
    <row r="65" spans="6:10" ht="15">
      <c r="F65" s="82"/>
      <c r="G65" s="82"/>
      <c r="H65" s="82"/>
      <c r="I65" s="82"/>
      <c r="J65" s="82"/>
    </row>
    <row r="66" spans="6:10" ht="13.5">
      <c r="F66" s="38"/>
      <c r="G66" s="38"/>
      <c r="H66" s="38"/>
      <c r="I66" s="38"/>
      <c r="J66" s="38"/>
    </row>
  </sheetData>
  <sheetProtection password="C915" sheet="1" objects="1" scenarios="1"/>
  <mergeCells count="23">
    <mergeCell ref="B58:K58"/>
    <mergeCell ref="B59:K59"/>
    <mergeCell ref="B60:K60"/>
    <mergeCell ref="B61:K61"/>
    <mergeCell ref="B62:K62"/>
    <mergeCell ref="B52:J52"/>
    <mergeCell ref="B53:K53"/>
    <mergeCell ref="B54:K54"/>
    <mergeCell ref="B55:K55"/>
    <mergeCell ref="B56:K56"/>
    <mergeCell ref="B57:K57"/>
    <mergeCell ref="G29:H29"/>
    <mergeCell ref="I29:J29"/>
    <mergeCell ref="I32:J32"/>
    <mergeCell ref="B49:J49"/>
    <mergeCell ref="B50:J50"/>
    <mergeCell ref="B51:J51"/>
    <mergeCell ref="F1:G1"/>
    <mergeCell ref="B5:E5"/>
    <mergeCell ref="B6:E6"/>
    <mergeCell ref="B7:E7"/>
    <mergeCell ref="G11:H11"/>
    <mergeCell ref="I11:J11"/>
  </mergeCells>
  <conditionalFormatting sqref="C40">
    <cfRule type="expression" priority="24" dxfId="0" stopIfTrue="1">
      <formula>$C$18&gt;0</formula>
    </cfRule>
  </conditionalFormatting>
  <conditionalFormatting sqref="J33:J36 J41 J31 G31:G41">
    <cfRule type="expression" priority="23" dxfId="49" stopIfTrue="1">
      <formula>$C$18&gt;0</formula>
    </cfRule>
  </conditionalFormatting>
  <conditionalFormatting sqref="I33:I36 I31 H41:I41 F31:F41 H32:H40">
    <cfRule type="expression" priority="22" dxfId="50" stopIfTrue="1">
      <formula>$C$18&gt;0</formula>
    </cfRule>
  </conditionalFormatting>
  <conditionalFormatting sqref="J37:J40">
    <cfRule type="expression" priority="21" dxfId="51" stopIfTrue="1">
      <formula>$C$18&gt;0</formula>
    </cfRule>
  </conditionalFormatting>
  <conditionalFormatting sqref="G44">
    <cfRule type="expression" priority="19" dxfId="52" stopIfTrue="1">
      <formula>$C$18&gt;0</formula>
    </cfRule>
    <cfRule type="expression" priority="20" dxfId="53" stopIfTrue="1">
      <formula>$C$18&gt;0</formula>
    </cfRule>
  </conditionalFormatting>
  <conditionalFormatting sqref="F44">
    <cfRule type="expression" priority="18" dxfId="54" stopIfTrue="1">
      <formula>$C$18&gt;0</formula>
    </cfRule>
  </conditionalFormatting>
  <conditionalFormatting sqref="H44 H47">
    <cfRule type="expression" priority="17" dxfId="55" stopIfTrue="1">
      <formula>$C$18&gt;0</formula>
    </cfRule>
  </conditionalFormatting>
  <conditionalFormatting sqref="H31">
    <cfRule type="expression" priority="16" dxfId="50" stopIfTrue="1">
      <formula>$C$18&gt;0</formula>
    </cfRule>
  </conditionalFormatting>
  <conditionalFormatting sqref="F30">
    <cfRule type="containsText" priority="13" dxfId="50" operator="containsText" stopIfTrue="1" text="Grundlohn">
      <formula>NOT(ISERROR(SEARCH("Grundlohn",F30)))</formula>
    </cfRule>
    <cfRule type="containsText" priority="14" dxfId="14" operator="containsText" stopIfTrue="1" text="Grundlohn">
      <formula>NOT(ISERROR(SEARCH("Grundlohn",F30)))</formula>
    </cfRule>
    <cfRule type="expression" priority="15" dxfId="50" stopIfTrue="1">
      <formula>$C$18&gt;0</formula>
    </cfRule>
  </conditionalFormatting>
  <conditionalFormatting sqref="G30">
    <cfRule type="expression" priority="12" dxfId="49" stopIfTrue="1">
      <formula>$C$18&gt;0</formula>
    </cfRule>
  </conditionalFormatting>
  <conditionalFormatting sqref="J30">
    <cfRule type="expression" priority="11" dxfId="49" stopIfTrue="1">
      <formula>$C$18&gt;0</formula>
    </cfRule>
  </conditionalFormatting>
  <conditionalFormatting sqref="H30">
    <cfRule type="expression" priority="10" dxfId="50" stopIfTrue="1">
      <formula>$C$18&gt;0</formula>
    </cfRule>
  </conditionalFormatting>
  <conditionalFormatting sqref="G29:H29">
    <cfRule type="containsText" priority="9" dxfId="50" operator="containsText" stopIfTrue="1" text="Ist Herkunftsland">
      <formula>NOT(ISERROR(SEARCH("Ist Herkunftsland",G29)))</formula>
    </cfRule>
  </conditionalFormatting>
  <conditionalFormatting sqref="I29:J29">
    <cfRule type="containsText" priority="8" dxfId="50" operator="containsText" stopIfTrue="1" text="Soll Schweiz">
      <formula>NOT(ISERROR(SEARCH("Soll Schweiz",I29)))</formula>
    </cfRule>
  </conditionalFormatting>
  <conditionalFormatting sqref="F38:H38">
    <cfRule type="expression" priority="7" dxfId="50" stopIfTrue="1">
      <formula>$C$18&gt;0</formula>
    </cfRule>
  </conditionalFormatting>
  <conditionalFormatting sqref="G38">
    <cfRule type="expression" priority="6" dxfId="52" stopIfTrue="1">
      <formula>$C$18&gt;0</formula>
    </cfRule>
  </conditionalFormatting>
  <conditionalFormatting sqref="G30:G41">
    <cfRule type="expression" priority="5" dxfId="52" stopIfTrue="1">
      <formula>$C$18&gt;0</formula>
    </cfRule>
  </conditionalFormatting>
  <conditionalFormatting sqref="G47">
    <cfRule type="expression" priority="4" dxfId="52" stopIfTrue="1">
      <formula>$C$18&gt;0</formula>
    </cfRule>
  </conditionalFormatting>
  <conditionalFormatting sqref="J30:J31">
    <cfRule type="expression" priority="3" dxfId="52" stopIfTrue="1">
      <formula>$C$18&gt;0</formula>
    </cfRule>
  </conditionalFormatting>
  <conditionalFormatting sqref="J33:J36">
    <cfRule type="expression" priority="2" dxfId="52" stopIfTrue="1">
      <formula>$C$18&gt;0</formula>
    </cfRule>
  </conditionalFormatting>
  <conditionalFormatting sqref="J41">
    <cfRule type="expression" priority="1" dxfId="52" stopIfTrue="1">
      <formula>$C$18&gt;0</formula>
    </cfRule>
  </conditionalFormatting>
  <dataValidations count="4">
    <dataValidation type="list" allowBlank="1" showInputMessage="1" showErrorMessage="1" sqref="D27:D30">
      <formula1>$L$11:$L$12</formula1>
    </dataValidation>
    <dataValidation type="list" allowBlank="1" showInputMessage="1" showErrorMessage="1" sqref="A18">
      <formula1>$L$14:$L$16</formula1>
    </dataValidation>
    <dataValidation type="list" allowBlank="1" showInputMessage="1" showErrorMessage="1" sqref="D14">
      <formula1>$L$17:$L$18</formula1>
    </dataValidation>
    <dataValidation type="list" allowBlank="1" showInputMessage="1" showErrorMessage="1" sqref="D25">
      <formula1>$L$26:$L$27</formula1>
    </dataValidation>
  </dataValidations>
  <hyperlinks>
    <hyperlink ref="A42" r:id="rId1" display="Wechselkurs "/>
    <hyperlink ref="A24" r:id="rId2" display="Feiertage"/>
    <hyperlink ref="A50" location="'Auszüge SECO Weisung'!A7" display="Grundlohn:"/>
    <hyperlink ref="A52" location="'Auszüge SECO Weisung'!A38" display="Entsendzulage:"/>
    <hyperlink ref="A53" location="'Auszüge SECO Weisung'!A20" display="Entsendeentschädigung:"/>
    <hyperlink ref="A55" location="'Auszüge SECO Weisung'!A40" display="Vermögenswirksame Leistungen:"/>
    <hyperlink ref="A56" location="'Auszüge SECO Weisung'!A45" display="Ferienentschädigung:"/>
    <hyperlink ref="A59" location="'Auszüge SECO Weisung'!A62" display="Feiertagsentschädigung:"/>
    <hyperlink ref="A60" location="'Auszüge SECO Weisung'!A67" display="13./14. Monatslohn:"/>
    <hyperlink ref="A61" location="'Auszüge SECO Weisung'!A77" display="Urlaubsgeld/Weihnachtsgeld:"/>
    <hyperlink ref="A62" location="'Auszüge SECO Weisung'!A81" display="Wechselkurs:"/>
  </hyperlinks>
  <printOptions gridLines="1" horizontalCentered="1"/>
  <pageMargins left="0.3937007874015748" right="0.3937007874015748" top="0.5905511811023623" bottom="0.5905511811023623" header="0.3937007874015748" footer="0.3937007874015748"/>
  <pageSetup fitToHeight="0" fitToWidth="1" horizontalDpi="600" verticalDpi="600" orientation="landscape" paperSize="9" scale="59" r:id="rId7"/>
  <headerFooter alignWithMargins="0">
    <oddFooter xml:space="preserve">&amp;L&amp;"Arial,Fett"&amp;9&amp;D / &amp;T&amp;C&amp;"Arial,Fett"&amp;9&amp;F </oddFooter>
  </headerFooter>
  <rowBreaks count="1" manualBreakCount="1">
    <brk id="47" max="10" man="1"/>
  </rowBreaks>
  <drawing r:id="rId6"/>
  <legacyDrawing r:id="rId5"/>
  <oleObjects>
    <oleObject progId="Equation.3" shapeId="673497" r:id="rId4"/>
  </oleObjects>
</worksheet>
</file>

<file path=xl/worksheets/sheet3.xml><?xml version="1.0" encoding="utf-8"?>
<worksheet xmlns="http://schemas.openxmlformats.org/spreadsheetml/2006/main" xmlns:r="http://schemas.openxmlformats.org/officeDocument/2006/relationships">
  <dimension ref="A1:N52"/>
  <sheetViews>
    <sheetView zoomScale="95" zoomScaleNormal="95" zoomScalePageLayoutView="0" workbookViewId="0" topLeftCell="A1">
      <selection activeCell="A3" sqref="A3"/>
    </sheetView>
  </sheetViews>
  <sheetFormatPr defaultColWidth="11.421875" defaultRowHeight="12.75"/>
  <cols>
    <col min="1" max="1" width="49.00390625" style="135" customWidth="1"/>
    <col min="2" max="2" width="14.8515625" style="135" customWidth="1"/>
    <col min="3" max="3" width="11.421875" style="135" customWidth="1"/>
    <col min="4" max="4" width="23.140625" style="135" customWidth="1"/>
    <col min="5" max="5" width="7.57421875" style="135" customWidth="1"/>
    <col min="6" max="6" width="44.00390625" style="135" customWidth="1"/>
    <col min="7" max="16384" width="11.421875" style="135" customWidth="1"/>
  </cols>
  <sheetData>
    <row r="1" spans="1:11" ht="63.75" customHeight="1">
      <c r="A1" s="133"/>
      <c r="B1" s="133"/>
      <c r="C1" s="133"/>
      <c r="D1" s="133"/>
      <c r="E1" s="133"/>
      <c r="F1" s="238"/>
      <c r="G1" s="238"/>
      <c r="H1" s="134"/>
      <c r="I1" s="134"/>
      <c r="J1" s="133"/>
      <c r="K1" s="133"/>
    </row>
    <row r="2" spans="1:11" ht="15.75" customHeight="1">
      <c r="A2" s="136" t="s">
        <v>0</v>
      </c>
      <c r="B2" s="137"/>
      <c r="C2" s="137"/>
      <c r="D2" s="137"/>
      <c r="E2" s="138"/>
      <c r="F2" s="139"/>
      <c r="G2" s="140"/>
      <c r="H2" s="140"/>
      <c r="I2" s="140"/>
      <c r="J2" s="140"/>
      <c r="K2" s="140"/>
    </row>
    <row r="3" spans="1:11" ht="15" customHeight="1">
      <c r="A3" s="141"/>
      <c r="B3" s="141"/>
      <c r="C3" s="141"/>
      <c r="D3" s="142"/>
      <c r="E3" s="142"/>
      <c r="F3" s="142"/>
      <c r="G3" s="142"/>
      <c r="H3" s="142"/>
      <c r="I3" s="133"/>
      <c r="J3" s="133"/>
      <c r="K3" s="133"/>
    </row>
    <row r="4" spans="1:12" ht="15" customHeight="1">
      <c r="A4" s="141"/>
      <c r="B4" s="141"/>
      <c r="C4" s="141"/>
      <c r="D4" s="142"/>
      <c r="E4" s="142"/>
      <c r="F4" s="142"/>
      <c r="G4" s="142"/>
      <c r="H4" s="142"/>
      <c r="I4" s="133"/>
      <c r="J4" s="133"/>
      <c r="K4" s="133"/>
      <c r="L4" s="143" t="s">
        <v>33</v>
      </c>
    </row>
    <row r="5" spans="1:12" ht="15" customHeight="1">
      <c r="A5" s="141"/>
      <c r="B5" s="141"/>
      <c r="C5" s="141"/>
      <c r="D5" s="142"/>
      <c r="E5" s="142"/>
      <c r="F5" s="142"/>
      <c r="G5" s="142"/>
      <c r="H5" s="142"/>
      <c r="I5" s="133"/>
      <c r="J5" s="133"/>
      <c r="K5" s="133"/>
      <c r="L5" s="143" t="s">
        <v>32</v>
      </c>
    </row>
    <row r="6" spans="1:12" s="3" customFormat="1" ht="15" customHeight="1">
      <c r="A6" s="144" t="s">
        <v>130</v>
      </c>
      <c r="B6" s="144"/>
      <c r="C6" s="145"/>
      <c r="D6" s="145"/>
      <c r="E6" s="145"/>
      <c r="F6" s="146" t="s">
        <v>131</v>
      </c>
      <c r="G6" s="147"/>
      <c r="H6" s="147"/>
      <c r="I6" s="147"/>
      <c r="J6" s="147"/>
      <c r="K6" s="148"/>
      <c r="L6" s="149" t="s">
        <v>57</v>
      </c>
    </row>
    <row r="7" spans="1:12" s="3" customFormat="1" ht="15" customHeight="1">
      <c r="A7" s="144" t="s">
        <v>1</v>
      </c>
      <c r="B7" s="144"/>
      <c r="C7" s="147"/>
      <c r="D7" s="145"/>
      <c r="E7" s="145"/>
      <c r="F7" s="150"/>
      <c r="G7" s="239" t="s">
        <v>2</v>
      </c>
      <c r="H7" s="240"/>
      <c r="I7" s="133"/>
      <c r="J7" s="133"/>
      <c r="K7" s="148"/>
      <c r="L7" s="149" t="s">
        <v>31</v>
      </c>
    </row>
    <row r="8" spans="1:12" s="3" customFormat="1" ht="15" customHeight="1" thickBot="1">
      <c r="A8" s="144"/>
      <c r="B8" s="144"/>
      <c r="C8" s="144" t="s">
        <v>3</v>
      </c>
      <c r="D8" s="145"/>
      <c r="E8" s="145"/>
      <c r="F8" s="151"/>
      <c r="G8" s="152" t="s">
        <v>5</v>
      </c>
      <c r="H8" s="153" t="s">
        <v>4</v>
      </c>
      <c r="I8" s="133"/>
      <c r="J8" s="133"/>
      <c r="K8" s="148"/>
      <c r="L8" s="149" t="s">
        <v>36</v>
      </c>
    </row>
    <row r="9" spans="1:12" s="3" customFormat="1" ht="15" customHeight="1" thickTop="1">
      <c r="A9" s="144"/>
      <c r="B9" s="144"/>
      <c r="C9" s="118"/>
      <c r="D9" s="145"/>
      <c r="E9" s="145"/>
      <c r="F9" s="154" t="s">
        <v>6</v>
      </c>
      <c r="G9" s="155">
        <f>$H9/$C$32</f>
        <v>27.573529411764703</v>
      </c>
      <c r="H9" s="156">
        <f>C25</f>
        <v>30</v>
      </c>
      <c r="I9" s="133"/>
      <c r="J9" s="133"/>
      <c r="K9" s="148"/>
      <c r="L9" s="149" t="s">
        <v>35</v>
      </c>
    </row>
    <row r="10" spans="1:12" s="3" customFormat="1" ht="15" customHeight="1">
      <c r="A10" s="147" t="s">
        <v>132</v>
      </c>
      <c r="B10" s="147"/>
      <c r="C10" s="15">
        <v>2650</v>
      </c>
      <c r="D10" s="217" t="s">
        <v>133</v>
      </c>
      <c r="E10" s="157"/>
      <c r="F10" s="158" t="str">
        <f>IF(A15="          Zuschlag Nachtarbeit","Zuschlag Nachtarbeit",IF(A15="          Zuschlag Samstagsarbeit","Zuschlag Samstagsarbeit",IF(A15="          Zuschlag Sonntagsarbeit","Zuschlag Sonntagsarbeit","")))</f>
        <v>Zuschlag Sonntagsarbeit</v>
      </c>
      <c r="G10" s="159">
        <f>IF(C14&gt;0,H10/$C$32,"")</f>
        <v>13.786764705882351</v>
      </c>
      <c r="H10" s="160">
        <f>IF(AND(C14&gt;0,C30=""),H9*B30,IF(C14&gt;0,H9*C30/100,""))</f>
        <v>15</v>
      </c>
      <c r="I10" s="133"/>
      <c r="J10" s="133"/>
      <c r="K10" s="148"/>
      <c r="L10" s="149" t="s">
        <v>7</v>
      </c>
    </row>
    <row r="11" spans="1:12" s="3" customFormat="1" ht="15" customHeight="1">
      <c r="A11" s="147" t="s">
        <v>9</v>
      </c>
      <c r="B11" s="147"/>
      <c r="C11" s="15">
        <v>8</v>
      </c>
      <c r="D11" s="145" t="s">
        <v>10</v>
      </c>
      <c r="E11" s="145"/>
      <c r="F11" s="154" t="s">
        <v>18</v>
      </c>
      <c r="G11" s="159">
        <f>$H11/$C$32</f>
        <v>2.297794117647059</v>
      </c>
      <c r="H11" s="161">
        <f>SUM(H$9)*(C26/(260-C26))</f>
        <v>2.5</v>
      </c>
      <c r="I11" s="133"/>
      <c r="J11" s="133"/>
      <c r="K11" s="148"/>
      <c r="L11" s="149" t="s">
        <v>133</v>
      </c>
    </row>
    <row r="12" spans="1:12" s="3" customFormat="1" ht="15" customHeight="1">
      <c r="A12" s="147" t="s">
        <v>12</v>
      </c>
      <c r="B12" s="147"/>
      <c r="C12" s="15">
        <v>8</v>
      </c>
      <c r="D12" s="145" t="s">
        <v>13</v>
      </c>
      <c r="E12" s="145"/>
      <c r="F12" s="154" t="s">
        <v>20</v>
      </c>
      <c r="G12" s="159">
        <f>$H12/$C$32</f>
        <v>0.98869228966487</v>
      </c>
      <c r="H12" s="161">
        <f>SUM(H$9)*(C27/(260-C27))</f>
        <v>1.0756972111553786</v>
      </c>
      <c r="I12" s="133"/>
      <c r="J12" s="133"/>
      <c r="K12" s="148"/>
      <c r="L12" s="149"/>
    </row>
    <row r="13" spans="1:12" s="3" customFormat="1" ht="15" customHeight="1">
      <c r="A13" s="147" t="s">
        <v>14</v>
      </c>
      <c r="B13" s="147"/>
      <c r="C13" s="15">
        <v>64</v>
      </c>
      <c r="D13" s="145" t="s">
        <v>15</v>
      </c>
      <c r="E13" s="145"/>
      <c r="F13" s="154" t="s">
        <v>22</v>
      </c>
      <c r="G13" s="159">
        <f>$H13/$C$32</f>
        <v>2.5716679849230526</v>
      </c>
      <c r="H13" s="161">
        <f>(H9+H11+H12)*(C28/100)*(1/12)</f>
        <v>2.7979747675962816</v>
      </c>
      <c r="I13" s="133"/>
      <c r="J13" s="133"/>
      <c r="K13" s="148"/>
      <c r="L13" s="149"/>
    </row>
    <row r="14" spans="1:12" s="3" customFormat="1" ht="15" customHeight="1">
      <c r="A14" s="147" t="s">
        <v>35</v>
      </c>
      <c r="B14" s="162"/>
      <c r="C14" s="15">
        <v>4</v>
      </c>
      <c r="D14" s="145" t="s">
        <v>15</v>
      </c>
      <c r="E14" s="145"/>
      <c r="F14" s="154" t="s">
        <v>24</v>
      </c>
      <c r="G14" s="159">
        <f>$H14/$C$32</f>
        <v>0</v>
      </c>
      <c r="H14" s="161">
        <f>(H9+H11+H12)*(C29/100)*(1/12)</f>
        <v>0</v>
      </c>
      <c r="I14" s="133"/>
      <c r="J14" s="133"/>
      <c r="K14" s="148"/>
      <c r="L14" s="149"/>
    </row>
    <row r="15" spans="1:12" s="3" customFormat="1" ht="15" customHeight="1">
      <c r="A15" s="147" t="str">
        <f>IF(AND(A14="          davon Nachtarbeit",C14&gt;0),"          Zuschlag Nachtarbeit",IF(AND(A14="          davon Samstagsarbeit",C14&gt;0),"          Zuschlag Samstagsarbeit",IF(AND(A14="          davon Sonntagsarbeit",C14&gt;0),"          Zuschlag Sonntagsarbeit","")))</f>
        <v>          Zuschlag Sonntagsarbeit</v>
      </c>
      <c r="B15" s="147"/>
      <c r="C15" s="163"/>
      <c r="D15" s="145" t="str">
        <f>IF(C14&gt;0,"Euro pro Stunde","")</f>
        <v>Euro pro Stunde</v>
      </c>
      <c r="E15" s="145"/>
      <c r="F15" s="164" t="s">
        <v>25</v>
      </c>
      <c r="G15" s="165">
        <f>SUM(G$9:G$14)</f>
        <v>47.21844850988204</v>
      </c>
      <c r="H15" s="166">
        <f>SUM(H$9:H$14)</f>
        <v>51.37367197875166</v>
      </c>
      <c r="I15" s="133"/>
      <c r="J15" s="133"/>
      <c r="K15" s="148"/>
      <c r="L15" s="149"/>
    </row>
    <row r="16" spans="1:12" s="3" customFormat="1" ht="15" customHeight="1">
      <c r="A16" s="147" t="s">
        <v>134</v>
      </c>
      <c r="B16" s="147"/>
      <c r="C16" s="15">
        <v>0</v>
      </c>
      <c r="D16" s="145" t="s">
        <v>10</v>
      </c>
      <c r="E16" s="167"/>
      <c r="F16" s="168"/>
      <c r="G16" s="169"/>
      <c r="H16" s="169"/>
      <c r="I16" s="169"/>
      <c r="J16" s="169"/>
      <c r="K16" s="170"/>
      <c r="L16" s="149"/>
    </row>
    <row r="17" spans="1:12" s="3" customFormat="1" ht="18" customHeight="1">
      <c r="A17" s="206" t="s">
        <v>135</v>
      </c>
      <c r="B17" s="147"/>
      <c r="C17" s="15">
        <v>0</v>
      </c>
      <c r="D17" s="145" t="s">
        <v>10</v>
      </c>
      <c r="E17" s="171"/>
      <c r="F17" s="172" t="s">
        <v>136</v>
      </c>
      <c r="G17" s="173"/>
      <c r="H17" s="173"/>
      <c r="I17" s="173"/>
      <c r="J17" s="173"/>
      <c r="K17" s="174"/>
      <c r="L17" s="149"/>
    </row>
    <row r="18" spans="1:12" s="3" customFormat="1" ht="15" customHeight="1">
      <c r="A18" s="147" t="s">
        <v>11</v>
      </c>
      <c r="B18" s="147"/>
      <c r="C18" s="15">
        <v>1500</v>
      </c>
      <c r="D18" s="217" t="s">
        <v>59</v>
      </c>
      <c r="E18" s="175"/>
      <c r="G18" s="176"/>
      <c r="H18" s="176"/>
      <c r="I18" s="177"/>
      <c r="J18" s="147"/>
      <c r="K18" s="148"/>
      <c r="L18" s="149"/>
    </row>
    <row r="19" spans="1:12" s="3" customFormat="1" ht="15" customHeight="1">
      <c r="A19" s="147"/>
      <c r="B19" s="147"/>
      <c r="C19" s="178"/>
      <c r="D19" s="145"/>
      <c r="E19" s="175"/>
      <c r="F19" s="179" t="s">
        <v>137</v>
      </c>
      <c r="G19" s="239" t="s">
        <v>138</v>
      </c>
      <c r="H19" s="240"/>
      <c r="I19" s="241" t="s">
        <v>139</v>
      </c>
      <c r="J19" s="239" t="s">
        <v>140</v>
      </c>
      <c r="K19" s="240"/>
      <c r="L19" s="149"/>
    </row>
    <row r="20" spans="1:12" s="3" customFormat="1" ht="15" customHeight="1" thickBot="1">
      <c r="A20" s="147" t="s">
        <v>141</v>
      </c>
      <c r="B20" s="147"/>
      <c r="C20" s="15">
        <v>500</v>
      </c>
      <c r="D20" s="145" t="s">
        <v>5</v>
      </c>
      <c r="E20" s="175"/>
      <c r="F20" s="147"/>
      <c r="G20" s="180" t="s">
        <v>5</v>
      </c>
      <c r="H20" s="181" t="s">
        <v>4</v>
      </c>
      <c r="I20" s="242"/>
      <c r="J20" s="152" t="s">
        <v>5</v>
      </c>
      <c r="K20" s="153" t="s">
        <v>4</v>
      </c>
      <c r="L20" s="149" t="s">
        <v>59</v>
      </c>
    </row>
    <row r="21" spans="1:12" s="3" customFormat="1" ht="15" customHeight="1" thickTop="1">
      <c r="A21" s="147"/>
      <c r="B21" s="147"/>
      <c r="C21" s="178"/>
      <c r="D21" s="145"/>
      <c r="E21" s="175"/>
      <c r="F21" s="154" t="str">
        <f>IF(AND(C14&gt;0,A14="          davon Nachtarbeit"),"Soll für Einsätze in der Nacht:",IF(AND(C14&gt;0,A14="          davon Samstagsarbeit"),"Soll für Einsätze an Samstagen:",IF(AND(C14&gt;0,A14="          davon Sonntagsarbeit"),"Soll für Einsätze an Sonntagen:","")))</f>
        <v>Soll für Einsätze an Sonntagen:</v>
      </c>
      <c r="G21" s="155">
        <f>IF(C14&gt;0,G15,"")</f>
        <v>47.21844850988204</v>
      </c>
      <c r="H21" s="156">
        <f>IF(C14&gt;0,H15,"")</f>
        <v>51.37367197875166</v>
      </c>
      <c r="I21" s="182">
        <f>IF(C14&gt;0,C14,"")</f>
        <v>4</v>
      </c>
      <c r="J21" s="183">
        <f>IF(C14&gt;0,G21*I21,"")</f>
        <v>188.87379403952815</v>
      </c>
      <c r="K21" s="184">
        <f>IF(C14&gt;0,H21*I21,"")</f>
        <v>205.49468791500664</v>
      </c>
      <c r="L21" s="149" t="s">
        <v>60</v>
      </c>
    </row>
    <row r="22" spans="1:13" s="3" customFormat="1" ht="17.25" customHeight="1">
      <c r="A22" s="147"/>
      <c r="B22" s="147"/>
      <c r="C22" s="178"/>
      <c r="D22" s="145"/>
      <c r="E22" s="175"/>
      <c r="F22" s="154" t="s">
        <v>142</v>
      </c>
      <c r="G22" s="155">
        <f>IF(C14&gt;0,G15-G10,G15)</f>
        <v>33.43168380399969</v>
      </c>
      <c r="H22" s="156">
        <f>IF(C14&gt;0,H15-H10,H15)</f>
        <v>36.37367197875166</v>
      </c>
      <c r="I22" s="185">
        <f>C13-C14</f>
        <v>60</v>
      </c>
      <c r="J22" s="183">
        <f>G22*I22</f>
        <v>2005.9010282399813</v>
      </c>
      <c r="K22" s="184">
        <f>H22*I22</f>
        <v>2182.4203187250996</v>
      </c>
      <c r="L22" s="149"/>
      <c r="M22" s="186"/>
    </row>
    <row r="23" spans="1:13" s="3" customFormat="1" ht="15" customHeight="1">
      <c r="A23" s="144" t="s">
        <v>143</v>
      </c>
      <c r="B23" s="144"/>
      <c r="C23" s="178"/>
      <c r="D23" s="145"/>
      <c r="E23" s="175"/>
      <c r="F23" s="154" t="s">
        <v>140</v>
      </c>
      <c r="G23" s="141"/>
      <c r="H23" s="141"/>
      <c r="I23" s="182">
        <f>SUM(I21:I22)</f>
        <v>64</v>
      </c>
      <c r="J23" s="183">
        <f>SUM(J21:J22)</f>
        <v>2194.7748222795094</v>
      </c>
      <c r="K23" s="184">
        <f>SUM(K21:K22)</f>
        <v>2387.915006640106</v>
      </c>
      <c r="L23" s="149"/>
      <c r="M23" s="186"/>
    </row>
    <row r="24" spans="1:12" s="3" customFormat="1" ht="15" customHeight="1">
      <c r="A24" s="147"/>
      <c r="B24" s="147"/>
      <c r="C24" s="178"/>
      <c r="D24" s="145"/>
      <c r="E24" s="175"/>
      <c r="G24" s="141"/>
      <c r="H24" s="141"/>
      <c r="I24" s="141"/>
      <c r="J24" s="187"/>
      <c r="K24" s="188"/>
      <c r="L24" s="149"/>
    </row>
    <row r="25" spans="1:12" s="3" customFormat="1" ht="15" customHeight="1">
      <c r="A25" s="147" t="s">
        <v>29</v>
      </c>
      <c r="B25" s="147"/>
      <c r="C25" s="15">
        <v>30</v>
      </c>
      <c r="D25" s="145" t="s">
        <v>4</v>
      </c>
      <c r="E25" s="175"/>
      <c r="F25" s="179" t="s">
        <v>144</v>
      </c>
      <c r="G25" s="141"/>
      <c r="H25" s="141"/>
      <c r="I25" s="141"/>
      <c r="J25" s="187"/>
      <c r="K25" s="188"/>
      <c r="L25" s="149"/>
    </row>
    <row r="26" spans="1:11" s="3" customFormat="1" ht="15" customHeight="1">
      <c r="A26" s="147" t="s">
        <v>21</v>
      </c>
      <c r="B26" s="147"/>
      <c r="C26" s="15">
        <v>20</v>
      </c>
      <c r="D26" s="145" t="s">
        <v>10</v>
      </c>
      <c r="E26" s="175"/>
      <c r="F26" s="189" t="s">
        <v>132</v>
      </c>
      <c r="G26" s="190"/>
      <c r="H26" s="190"/>
      <c r="I26" s="190"/>
      <c r="J26" s="191">
        <f>IF(D10="Pauschale in Euro",C10,C10*C13)</f>
        <v>2650</v>
      </c>
      <c r="K26" s="192">
        <f>J26*C32</f>
        <v>2883.2000000000003</v>
      </c>
    </row>
    <row r="27" spans="1:11" s="3" customFormat="1" ht="15" customHeight="1">
      <c r="A27" s="147" t="s">
        <v>23</v>
      </c>
      <c r="B27" s="147"/>
      <c r="C27" s="15">
        <v>9</v>
      </c>
      <c r="D27" s="145" t="s">
        <v>10</v>
      </c>
      <c r="E27" s="175"/>
      <c r="F27" s="189" t="s">
        <v>11</v>
      </c>
      <c r="G27" s="190"/>
      <c r="H27" s="190"/>
      <c r="I27" s="190"/>
      <c r="J27" s="191">
        <f>IF(D18="Euro für die Einsatzdauer",C18,C18*C11)</f>
        <v>1500</v>
      </c>
      <c r="K27" s="192">
        <f>J27*C32</f>
        <v>1632.0000000000002</v>
      </c>
    </row>
    <row r="28" spans="1:11" s="3" customFormat="1" ht="15" customHeight="1">
      <c r="A28" s="147" t="s">
        <v>22</v>
      </c>
      <c r="B28" s="147"/>
      <c r="C28" s="15">
        <v>100</v>
      </c>
      <c r="D28" s="145" t="s">
        <v>26</v>
      </c>
      <c r="E28" s="175"/>
      <c r="F28" s="189" t="str">
        <f>IF(A15="          Zuschlag Nachtarbeit","Zuschlag Nachtarbeit",IF(A15="          Zuschlag Samstagsarbeit","Zuschlag Samstagsarbeit",IF(A15="          Zuschlag Sonntagsarbeit","Zuschlag Sonntagsarbeit","")))</f>
        <v>Zuschlag Sonntagsarbeit</v>
      </c>
      <c r="G28" s="190"/>
      <c r="H28" s="190"/>
      <c r="I28" s="190"/>
      <c r="J28" s="191">
        <f>IF(C14&gt;0,C15*C14,"")</f>
        <v>0</v>
      </c>
      <c r="K28" s="192">
        <f>IF(C14&gt;0,J28*C32,"")</f>
        <v>0</v>
      </c>
    </row>
    <row r="29" spans="1:11" s="3" customFormat="1" ht="15" customHeight="1">
      <c r="A29" s="147" t="s">
        <v>24</v>
      </c>
      <c r="B29" s="147"/>
      <c r="C29" s="15">
        <v>0</v>
      </c>
      <c r="D29" s="145" t="s">
        <v>26</v>
      </c>
      <c r="E29" s="175"/>
      <c r="F29" s="154" t="s">
        <v>141</v>
      </c>
      <c r="G29" s="190"/>
      <c r="H29" s="190"/>
      <c r="I29" s="190"/>
      <c r="J29" s="191">
        <f>C20*(-1)</f>
        <v>-500</v>
      </c>
      <c r="K29" s="192">
        <f>J29*C32</f>
        <v>-544</v>
      </c>
    </row>
    <row r="30" spans="1:11" s="3" customFormat="1" ht="15" customHeight="1">
      <c r="A30" s="193" t="str">
        <f>IF(AND(A14="          davon Nachtarbeit",C14&gt;0),"Zuschlag Nachtarbeit",IF(AND(A14="          davon Samstagsarbeit",C14&gt;0),"Zuschlag Samstagsarbeit",IF(AND(A14="          davon Sonntagsarbeit",C14&gt;0),"Zuschlag Sonntagsarbeit","")))</f>
        <v>Zuschlag Sonntagsarbeit</v>
      </c>
      <c r="B30" s="194">
        <f>IF(A30="Zuschlag Nachtarbeit",0.25,IF(A30="Zuschlag Samstagsarbeit",0,IF(A30="Zuschlag Sonntagsarbeit",0.5,"")))</f>
        <v>0.5</v>
      </c>
      <c r="C30" s="195"/>
      <c r="D30" s="196" t="str">
        <f>IF(C14&gt;0,"%","")</f>
        <v>%</v>
      </c>
      <c r="E30" s="197"/>
      <c r="F30" s="189" t="s">
        <v>145</v>
      </c>
      <c r="G30" s="190"/>
      <c r="H30" s="190"/>
      <c r="I30" s="190"/>
      <c r="J30" s="191">
        <f>K30/C32</f>
        <v>-1102.941176470588</v>
      </c>
      <c r="K30" s="192">
        <f>C33*C12*(-1)</f>
        <v>-1200</v>
      </c>
    </row>
    <row r="31" spans="1:11" s="3" customFormat="1" ht="15" customHeight="1">
      <c r="A31" s="141"/>
      <c r="B31" s="141"/>
      <c r="C31" s="141"/>
      <c r="D31" s="196"/>
      <c r="E31" s="197"/>
      <c r="F31" s="189" t="s">
        <v>146</v>
      </c>
      <c r="G31" s="190"/>
      <c r="H31" s="190"/>
      <c r="I31" s="190"/>
      <c r="J31" s="191">
        <f>K31/C32</f>
        <v>-294.11764705882354</v>
      </c>
      <c r="K31" s="192">
        <f>C34*C11*(-1)</f>
        <v>-320</v>
      </c>
    </row>
    <row r="32" spans="1:11" s="3" customFormat="1" ht="15" customHeight="1">
      <c r="A32" s="206" t="s">
        <v>147</v>
      </c>
      <c r="B32" s="218" t="s">
        <v>163</v>
      </c>
      <c r="C32" s="55">
        <v>1.088</v>
      </c>
      <c r="D32" s="145" t="s">
        <v>27</v>
      </c>
      <c r="E32" s="197"/>
      <c r="F32" s="189" t="s">
        <v>148</v>
      </c>
      <c r="G32" s="190"/>
      <c r="H32" s="190"/>
      <c r="I32" s="190"/>
      <c r="J32" s="191">
        <f>K32/C32</f>
        <v>-55.147058823529406</v>
      </c>
      <c r="K32" s="192">
        <f>C35*(-1)</f>
        <v>-60</v>
      </c>
    </row>
    <row r="33" spans="1:11" s="3" customFormat="1" ht="15" customHeight="1">
      <c r="A33" s="147" t="s">
        <v>145</v>
      </c>
      <c r="B33" s="147"/>
      <c r="C33" s="16">
        <v>150</v>
      </c>
      <c r="D33" s="145" t="s">
        <v>4</v>
      </c>
      <c r="E33" s="197"/>
      <c r="F33" s="189" t="s">
        <v>140</v>
      </c>
      <c r="G33" s="190"/>
      <c r="H33" s="190"/>
      <c r="I33" s="190"/>
      <c r="J33" s="191">
        <f>SUM(J26:J32)</f>
        <v>2197.794117647059</v>
      </c>
      <c r="K33" s="192">
        <f>SUM(K26:K32)</f>
        <v>2391.2000000000007</v>
      </c>
    </row>
    <row r="34" spans="1:11" s="3" customFormat="1" ht="15" customHeight="1">
      <c r="A34" s="147" t="s">
        <v>146</v>
      </c>
      <c r="B34" s="147"/>
      <c r="C34" s="16">
        <v>40</v>
      </c>
      <c r="D34" s="145" t="s">
        <v>4</v>
      </c>
      <c r="E34" s="197"/>
      <c r="F34" s="29"/>
      <c r="G34" s="29"/>
      <c r="H34" s="29"/>
      <c r="I34" s="29"/>
      <c r="J34" s="205"/>
      <c r="K34" s="205"/>
    </row>
    <row r="35" spans="1:11" s="3" customFormat="1" ht="15" customHeight="1">
      <c r="A35" s="147" t="s">
        <v>148</v>
      </c>
      <c r="B35" s="147"/>
      <c r="C35" s="15">
        <v>60</v>
      </c>
      <c r="D35" s="145" t="s">
        <v>4</v>
      </c>
      <c r="E35" s="198"/>
      <c r="F35" s="141"/>
      <c r="G35" s="141"/>
      <c r="H35" s="141"/>
      <c r="I35" s="141"/>
      <c r="J35" s="187"/>
      <c r="K35" s="187"/>
    </row>
    <row r="36" spans="1:14" s="12" customFormat="1" ht="15.75" thickBot="1">
      <c r="A36" s="141"/>
      <c r="B36" s="141"/>
      <c r="C36" s="141"/>
      <c r="D36" s="142"/>
      <c r="E36" s="198"/>
      <c r="F36" s="3"/>
      <c r="G36" s="142"/>
      <c r="H36" s="142"/>
      <c r="I36" s="142"/>
      <c r="J36" s="199" t="s">
        <v>5</v>
      </c>
      <c r="K36" s="200" t="s">
        <v>4</v>
      </c>
      <c r="L36" s="3"/>
      <c r="M36" s="3"/>
      <c r="N36" s="3"/>
    </row>
    <row r="37" spans="1:11" ht="15" customHeight="1" thickTop="1">
      <c r="A37" s="141"/>
      <c r="B37" s="141"/>
      <c r="C37" s="141"/>
      <c r="D37" s="142"/>
      <c r="E37" s="198"/>
      <c r="F37" s="201" t="s">
        <v>34</v>
      </c>
      <c r="G37" s="190"/>
      <c r="H37" s="190"/>
      <c r="I37" s="190"/>
      <c r="J37" s="183">
        <f>J33-J23</f>
        <v>3.019295367549603</v>
      </c>
      <c r="K37" s="184">
        <f>K33-K23</f>
        <v>3.2849933598945427</v>
      </c>
    </row>
    <row r="38" spans="1:11" ht="15" customHeight="1">
      <c r="A38" s="141"/>
      <c r="B38" s="141"/>
      <c r="C38" s="141"/>
      <c r="D38" s="141"/>
      <c r="E38" s="198"/>
      <c r="F38" s="141"/>
      <c r="G38" s="141"/>
      <c r="H38" s="141"/>
      <c r="I38" s="141"/>
      <c r="J38" s="141"/>
      <c r="K38" s="141"/>
    </row>
    <row r="39" spans="1:11" ht="15" customHeight="1">
      <c r="A39" s="141"/>
      <c r="B39" s="141"/>
      <c r="C39" s="141"/>
      <c r="D39" s="141"/>
      <c r="E39" s="198"/>
      <c r="F39" s="141"/>
      <c r="G39" s="141"/>
      <c r="H39" s="141"/>
      <c r="I39" s="141"/>
      <c r="J39" s="141"/>
      <c r="K39" s="141"/>
    </row>
    <row r="40" spans="1:11" ht="13.5">
      <c r="A40" s="141"/>
      <c r="B40" s="141"/>
      <c r="C40" s="141"/>
      <c r="D40" s="141"/>
      <c r="E40" s="142"/>
      <c r="F40" s="141"/>
      <c r="G40" s="141"/>
      <c r="H40" s="141"/>
      <c r="I40" s="141"/>
      <c r="J40" s="141"/>
      <c r="K40" s="141"/>
    </row>
    <row r="41" spans="1:11" ht="13.5">
      <c r="A41" s="141"/>
      <c r="B41" s="141"/>
      <c r="C41" s="141"/>
      <c r="D41" s="141"/>
      <c r="E41" s="142"/>
      <c r="F41" s="142"/>
      <c r="G41" s="142"/>
      <c r="H41" s="142"/>
      <c r="I41" s="142"/>
      <c r="J41" s="142"/>
      <c r="K41" s="142"/>
    </row>
    <row r="42" spans="1:11" ht="66" customHeight="1">
      <c r="A42" s="144" t="s">
        <v>37</v>
      </c>
      <c r="B42" s="145"/>
      <c r="C42" s="145"/>
      <c r="D42" s="145"/>
      <c r="E42" s="145"/>
      <c r="F42" s="145"/>
      <c r="G42" s="145"/>
      <c r="H42" s="145"/>
      <c r="I42" s="145"/>
      <c r="J42" s="145"/>
      <c r="K42" s="145"/>
    </row>
    <row r="43" spans="1:11" ht="60" customHeight="1">
      <c r="A43" s="243" t="s">
        <v>149</v>
      </c>
      <c r="B43" s="243"/>
      <c r="C43" s="243"/>
      <c r="D43" s="243"/>
      <c r="E43" s="243"/>
      <c r="F43" s="243"/>
      <c r="G43" s="243"/>
      <c r="H43" s="243"/>
      <c r="I43" s="243"/>
      <c r="J43" s="243"/>
      <c r="K43" s="243"/>
    </row>
    <row r="44" spans="1:11" ht="13.5" customHeight="1">
      <c r="A44" s="202"/>
      <c r="B44" s="202"/>
      <c r="C44" s="202"/>
      <c r="D44" s="202"/>
      <c r="E44" s="202"/>
      <c r="F44" s="202"/>
      <c r="G44" s="202"/>
      <c r="H44" s="202"/>
      <c r="I44" s="202"/>
      <c r="J44" s="202"/>
      <c r="K44" s="202"/>
    </row>
    <row r="45" spans="1:11" ht="63.75" customHeight="1">
      <c r="A45" s="203" t="s">
        <v>150</v>
      </c>
      <c r="B45" s="244" t="s">
        <v>151</v>
      </c>
      <c r="C45" s="244"/>
      <c r="D45" s="244"/>
      <c r="E45" s="244"/>
      <c r="F45" s="244"/>
      <c r="G45" s="244"/>
      <c r="H45" s="244"/>
      <c r="I45" s="244"/>
      <c r="J45" s="244"/>
      <c r="K45" s="244"/>
    </row>
    <row r="46" spans="1:11" ht="186" customHeight="1">
      <c r="A46" s="203" t="s">
        <v>42</v>
      </c>
      <c r="B46" s="244" t="s">
        <v>152</v>
      </c>
      <c r="C46" s="244"/>
      <c r="D46" s="244"/>
      <c r="E46" s="244"/>
      <c r="F46" s="244"/>
      <c r="G46" s="244"/>
      <c r="H46" s="244"/>
      <c r="I46" s="244"/>
      <c r="J46" s="244"/>
      <c r="K46" s="244"/>
    </row>
    <row r="47" spans="1:11" ht="64.5" customHeight="1">
      <c r="A47" s="203" t="s">
        <v>153</v>
      </c>
      <c r="B47" s="245" t="s">
        <v>154</v>
      </c>
      <c r="C47" s="245"/>
      <c r="D47" s="245"/>
      <c r="E47" s="245"/>
      <c r="F47" s="245"/>
      <c r="G47" s="245"/>
      <c r="H47" s="245"/>
      <c r="I47" s="245"/>
      <c r="J47" s="245"/>
      <c r="K47" s="245"/>
    </row>
    <row r="48" spans="1:11" ht="33.75" customHeight="1">
      <c r="A48" s="133"/>
      <c r="B48" s="246" t="s">
        <v>155</v>
      </c>
      <c r="C48" s="247"/>
      <c r="D48" s="247"/>
      <c r="E48" s="247"/>
      <c r="F48" s="247"/>
      <c r="G48" s="247"/>
      <c r="H48" s="247"/>
      <c r="I48" s="247"/>
      <c r="J48" s="247"/>
      <c r="K48" s="248"/>
    </row>
    <row r="49" spans="1:11" ht="33.75" customHeight="1">
      <c r="A49" s="204" t="s">
        <v>156</v>
      </c>
      <c r="B49" s="249" t="s">
        <v>157</v>
      </c>
      <c r="C49" s="249"/>
      <c r="D49" s="249"/>
      <c r="E49" s="249"/>
      <c r="F49" s="249"/>
      <c r="G49" s="249"/>
      <c r="H49" s="249"/>
      <c r="I49" s="249"/>
      <c r="J49" s="249"/>
      <c r="K49" s="249"/>
    </row>
    <row r="50" spans="1:11" ht="30" customHeight="1">
      <c r="A50" s="204" t="s">
        <v>158</v>
      </c>
      <c r="B50" s="244" t="s">
        <v>159</v>
      </c>
      <c r="C50" s="244"/>
      <c r="D50" s="244"/>
      <c r="E50" s="244"/>
      <c r="F50" s="244"/>
      <c r="G50" s="244"/>
      <c r="H50" s="244"/>
      <c r="I50" s="244"/>
      <c r="J50" s="244"/>
      <c r="K50" s="244"/>
    </row>
    <row r="51" spans="1:11" ht="33" customHeight="1">
      <c r="A51" s="204" t="s">
        <v>160</v>
      </c>
      <c r="B51" s="244" t="s">
        <v>161</v>
      </c>
      <c r="C51" s="244"/>
      <c r="D51" s="244"/>
      <c r="E51" s="244"/>
      <c r="F51" s="244"/>
      <c r="G51" s="244"/>
      <c r="H51" s="244"/>
      <c r="I51" s="244"/>
      <c r="J51" s="244"/>
      <c r="K51" s="244"/>
    </row>
    <row r="52" spans="1:11" ht="13.5">
      <c r="A52" s="133"/>
      <c r="B52" s="133"/>
      <c r="C52" s="133"/>
      <c r="D52" s="133"/>
      <c r="E52" s="133"/>
      <c r="F52" s="133"/>
      <c r="G52" s="133"/>
      <c r="H52" s="133"/>
      <c r="I52" s="133"/>
      <c r="J52" s="133"/>
      <c r="K52" s="133"/>
    </row>
  </sheetData>
  <sheetProtection password="C915" sheet="1"/>
  <mergeCells count="13">
    <mergeCell ref="B51:K51"/>
    <mergeCell ref="B45:K45"/>
    <mergeCell ref="B46:K46"/>
    <mergeCell ref="B47:K47"/>
    <mergeCell ref="B48:K48"/>
    <mergeCell ref="B49:K49"/>
    <mergeCell ref="B50:K50"/>
    <mergeCell ref="F1:G1"/>
    <mergeCell ref="G7:H7"/>
    <mergeCell ref="G19:H19"/>
    <mergeCell ref="I19:I20"/>
    <mergeCell ref="J19:K19"/>
    <mergeCell ref="A43:K43"/>
  </mergeCells>
  <conditionalFormatting sqref="C30 C15">
    <cfRule type="expression" priority="1" dxfId="0" stopIfTrue="1">
      <formula>$C$14&gt;0</formula>
    </cfRule>
  </conditionalFormatting>
  <dataValidations count="4">
    <dataValidation type="list" allowBlank="1" showInputMessage="1" showErrorMessage="1" sqref="A14">
      <formula1>$L$7:$L$9</formula1>
    </dataValidation>
    <dataValidation type="list" allowBlank="1" showInputMessage="1" showErrorMessage="1" sqref="D10">
      <formula1>$L$10:$L$11</formula1>
    </dataValidation>
    <dataValidation type="list" allowBlank="1" showInputMessage="1" showErrorMessage="1" sqref="D18">
      <formula1>$L$20:$L$21</formula1>
    </dataValidation>
    <dataValidation allowBlank="1" showInputMessage="1" showErrorMessage="1" sqref="D20 D35"/>
  </dataValidations>
  <hyperlinks>
    <hyperlink ref="A32" r:id="rId1" display="Wechselkurs"/>
    <hyperlink ref="A17" r:id="rId2" display="bezahlte Feiertage"/>
  </hyperlinks>
  <printOptions/>
  <pageMargins left="0.7" right="0.7" top="0.787401575" bottom="0.787401575" header="0.3" footer="0.3"/>
  <pageSetup horizontalDpi="300" verticalDpi="300" orientation="portrait" paperSize="9" scale="43" r:id="rId6"/>
  <drawing r:id="rId5"/>
  <legacyDrawing r:id="rId4"/>
</worksheet>
</file>

<file path=xl/worksheets/sheet4.xml><?xml version="1.0" encoding="utf-8"?>
<worksheet xmlns="http://schemas.openxmlformats.org/spreadsheetml/2006/main" xmlns:r="http://schemas.openxmlformats.org/officeDocument/2006/relationships">
  <dimension ref="A1:A88"/>
  <sheetViews>
    <sheetView zoomScalePageLayoutView="150" workbookViewId="0" topLeftCell="A1">
      <selection activeCell="A2" sqref="A2"/>
    </sheetView>
  </sheetViews>
  <sheetFormatPr defaultColWidth="11.421875" defaultRowHeight="12.75"/>
  <cols>
    <col min="1" max="1" width="88.421875" style="0" customWidth="1"/>
    <col min="2" max="2" width="6.7109375" style="0" customWidth="1"/>
    <col min="4" max="4" width="26.28125" style="0" customWidth="1"/>
  </cols>
  <sheetData>
    <row r="1" ht="12.75">
      <c r="A1" s="64"/>
    </row>
    <row r="2" ht="12.75">
      <c r="A2" s="219" t="s">
        <v>71</v>
      </c>
    </row>
    <row r="3" ht="12.75">
      <c r="A3" s="61"/>
    </row>
    <row r="4" ht="13.5">
      <c r="A4" s="62" t="s">
        <v>73</v>
      </c>
    </row>
    <row r="5" ht="135" customHeight="1">
      <c r="A5" s="63" t="s">
        <v>72</v>
      </c>
    </row>
    <row r="6" ht="12.75">
      <c r="A6" s="64"/>
    </row>
    <row r="7" ht="13.5">
      <c r="A7" s="62" t="s">
        <v>74</v>
      </c>
    </row>
    <row r="8" ht="60.75" customHeight="1">
      <c r="A8" s="63" t="s">
        <v>75</v>
      </c>
    </row>
    <row r="9" ht="69">
      <c r="A9" s="63" t="s">
        <v>76</v>
      </c>
    </row>
    <row r="10" ht="12.75">
      <c r="A10" s="64"/>
    </row>
    <row r="11" ht="12.75">
      <c r="A11" s="64"/>
    </row>
    <row r="12" ht="12.75">
      <c r="A12" s="64"/>
    </row>
    <row r="13" ht="12.75">
      <c r="A13" s="64"/>
    </row>
    <row r="14" ht="12.75">
      <c r="A14" s="64"/>
    </row>
    <row r="15" ht="12.75">
      <c r="A15" s="64"/>
    </row>
    <row r="16" ht="12.75">
      <c r="A16" s="64"/>
    </row>
    <row r="17" ht="12.75">
      <c r="A17" s="64"/>
    </row>
    <row r="18" ht="69">
      <c r="A18" s="63" t="s">
        <v>77</v>
      </c>
    </row>
    <row r="19" ht="12.75">
      <c r="A19" s="64"/>
    </row>
    <row r="20" ht="13.5">
      <c r="A20" s="62" t="s">
        <v>78</v>
      </c>
    </row>
    <row r="21" ht="52.5" customHeight="1">
      <c r="A21" s="63" t="s">
        <v>79</v>
      </c>
    </row>
    <row r="22" ht="78" customHeight="1">
      <c r="A22" s="63" t="s">
        <v>80</v>
      </c>
    </row>
    <row r="23" ht="13.5">
      <c r="A23" s="63"/>
    </row>
    <row r="24" ht="13.5">
      <c r="A24" s="63"/>
    </row>
    <row r="25" ht="12.75">
      <c r="A25" s="64"/>
    </row>
    <row r="26" ht="12.75">
      <c r="A26" s="64"/>
    </row>
    <row r="27" ht="12.75">
      <c r="A27" s="66"/>
    </row>
    <row r="28" ht="13.5">
      <c r="A28" s="62" t="s">
        <v>81</v>
      </c>
    </row>
    <row r="30" ht="124.5">
      <c r="A30" s="63" t="s">
        <v>82</v>
      </c>
    </row>
    <row r="31" ht="12.75">
      <c r="A31" s="64"/>
    </row>
    <row r="32" ht="54.75">
      <c r="A32" s="68" t="s">
        <v>94</v>
      </c>
    </row>
    <row r="33" ht="12.75">
      <c r="A33" s="64"/>
    </row>
    <row r="34" ht="123.75">
      <c r="A34" s="63" t="s">
        <v>120</v>
      </c>
    </row>
    <row r="36" ht="110.25">
      <c r="A36" s="63" t="s">
        <v>119</v>
      </c>
    </row>
    <row r="38" ht="13.5">
      <c r="A38" s="62" t="s">
        <v>83</v>
      </c>
    </row>
    <row r="39" ht="108.75" customHeight="1">
      <c r="A39" s="63" t="s">
        <v>84</v>
      </c>
    </row>
    <row r="40" ht="27" customHeight="1">
      <c r="A40" s="62" t="s">
        <v>85</v>
      </c>
    </row>
    <row r="41" ht="91.5" customHeight="1">
      <c r="A41" s="63" t="s">
        <v>86</v>
      </c>
    </row>
    <row r="42" ht="51.75" customHeight="1">
      <c r="A42" s="63" t="s">
        <v>87</v>
      </c>
    </row>
    <row r="43" ht="56.25" customHeight="1">
      <c r="A43" s="63" t="s">
        <v>88</v>
      </c>
    </row>
    <row r="45" ht="13.5">
      <c r="A45" s="62" t="s">
        <v>89</v>
      </c>
    </row>
    <row r="46" ht="81" customHeight="1">
      <c r="A46" s="63" t="s">
        <v>90</v>
      </c>
    </row>
    <row r="47" ht="33.75" customHeight="1">
      <c r="A47" s="63" t="s">
        <v>91</v>
      </c>
    </row>
    <row r="49" ht="150.75" customHeight="1">
      <c r="A49" s="67" t="s">
        <v>93</v>
      </c>
    </row>
    <row r="51" ht="82.5">
      <c r="A51" s="63" t="s">
        <v>92</v>
      </c>
    </row>
    <row r="53" ht="85.5" customHeight="1">
      <c r="A53" s="63" t="s">
        <v>95</v>
      </c>
    </row>
    <row r="54" ht="12.75">
      <c r="A54" s="64"/>
    </row>
    <row r="55" ht="12.75">
      <c r="A55" s="64"/>
    </row>
    <row r="56" ht="12.75">
      <c r="A56" s="64"/>
    </row>
    <row r="57" ht="12.75">
      <c r="A57" s="64"/>
    </row>
    <row r="58" ht="96">
      <c r="A58" s="69" t="s">
        <v>96</v>
      </c>
    </row>
    <row r="59" ht="12.75">
      <c r="A59" s="64"/>
    </row>
    <row r="60" ht="41.25">
      <c r="A60" s="65" t="s">
        <v>97</v>
      </c>
    </row>
    <row r="61" ht="12.75">
      <c r="A61" s="64"/>
    </row>
    <row r="62" ht="13.5">
      <c r="A62" s="62" t="s">
        <v>98</v>
      </c>
    </row>
    <row r="63" ht="117.75" customHeight="1">
      <c r="A63" s="63" t="s">
        <v>99</v>
      </c>
    </row>
    <row r="64" ht="64.5" customHeight="1">
      <c r="A64" s="63" t="s">
        <v>101</v>
      </c>
    </row>
    <row r="65" ht="81" customHeight="1">
      <c r="A65" s="63" t="s">
        <v>100</v>
      </c>
    </row>
    <row r="67" ht="13.5">
      <c r="A67" s="62" t="s">
        <v>102</v>
      </c>
    </row>
    <row r="68" ht="79.5" customHeight="1">
      <c r="A68" s="63" t="s">
        <v>103</v>
      </c>
    </row>
    <row r="69" ht="122.25" customHeight="1">
      <c r="A69" s="63" t="s">
        <v>104</v>
      </c>
    </row>
    <row r="70" ht="12.75">
      <c r="A70" s="64"/>
    </row>
    <row r="71" ht="12.75">
      <c r="A71" s="64"/>
    </row>
    <row r="72" ht="12.75">
      <c r="A72" s="64"/>
    </row>
    <row r="73" ht="69">
      <c r="A73" s="65" t="s">
        <v>105</v>
      </c>
    </row>
    <row r="75" ht="27">
      <c r="A75" s="70" t="s">
        <v>106</v>
      </c>
    </row>
    <row r="76" ht="136.5" customHeight="1">
      <c r="A76" s="71" t="s">
        <v>107</v>
      </c>
    </row>
    <row r="77" ht="19.5" customHeight="1">
      <c r="A77" s="85" t="s">
        <v>117</v>
      </c>
    </row>
    <row r="78" ht="84.75" customHeight="1">
      <c r="A78" s="83" t="s">
        <v>108</v>
      </c>
    </row>
    <row r="79" ht="52.5" customHeight="1">
      <c r="A79" s="83" t="s">
        <v>109</v>
      </c>
    </row>
    <row r="80" ht="112.5" customHeight="1">
      <c r="A80" s="84" t="s">
        <v>110</v>
      </c>
    </row>
    <row r="81" ht="21.75" customHeight="1">
      <c r="A81" s="70" t="s">
        <v>111</v>
      </c>
    </row>
    <row r="82" ht="111" customHeight="1">
      <c r="A82" s="71" t="s">
        <v>112</v>
      </c>
    </row>
    <row r="83" ht="12.75">
      <c r="A83" s="64"/>
    </row>
    <row r="84" ht="12.75">
      <c r="A84" s="64"/>
    </row>
    <row r="85" ht="12.75">
      <c r="A85" s="64"/>
    </row>
    <row r="86" ht="12.75">
      <c r="A86" s="64"/>
    </row>
    <row r="87" ht="12.75">
      <c r="A87" s="64"/>
    </row>
    <row r="88" ht="12.75">
      <c r="A88" s="64"/>
    </row>
  </sheetData>
  <sheetProtection password="C915" sheet="1"/>
  <hyperlinks>
    <hyperlink ref="A2" r:id="rId1" display="Auszüge: Weisung &quot;Vorgehen zum internationalen Lohnvergleich&quot;"/>
  </hyperlinks>
  <printOptions/>
  <pageMargins left="0.7" right="0.7" top="0.787401575" bottom="0.787401575" header="0.3" footer="0.3"/>
  <pageSetup horizontalDpi="600" verticalDpi="600" orientation="portrait" paperSize="9" r:id="rId5"/>
  <rowBreaks count="2" manualBreakCount="2">
    <brk id="39" max="255" man="1"/>
    <brk id="83" max="255" man="1"/>
  </rowBreaks>
  <legacyDrawing r:id="rId4"/>
  <oleObjects>
    <oleObject progId="Equation.3" shapeId="1270383" r:id="rId2"/>
    <oleObject progId="Equation.3" shapeId="1398781"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EVD / SECO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Wegmüller Claudio SECO</dc:creator>
  <cp:keywords/>
  <dc:description/>
  <cp:lastModifiedBy>Baumberger Daniel SECO</cp:lastModifiedBy>
  <cp:lastPrinted>2015-06-25T13:12:40Z</cp:lastPrinted>
  <dcterms:created xsi:type="dcterms:W3CDTF">2004-02-02T08:03:25Z</dcterms:created>
  <dcterms:modified xsi:type="dcterms:W3CDTF">2016-12-07T14:32:30Z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COO.2101.104.5.4123287</vt:lpwstr>
  </property>
  <property fmtid="{D5CDD505-2E9C-101B-9397-08002B2CF9AE}" pid="3" name="FSC#COOELAK@1.1001:Subject">
    <vt:lpwstr/>
  </property>
  <property fmtid="{D5CDD505-2E9C-101B-9397-08002B2CF9AE}" pid="4" name="FSC#COOELAK@1.1001:FileReference">
    <vt:lpwstr>07 Weisungen FlaM (515.1/2005/02625)</vt:lpwstr>
  </property>
  <property fmtid="{D5CDD505-2E9C-101B-9397-08002B2CF9AE}" pid="5" name="FSC#COOELAK@1.1001:FileRefYear">
    <vt:lpwstr>2005</vt:lpwstr>
  </property>
  <property fmtid="{D5CDD505-2E9C-101B-9397-08002B2CF9AE}" pid="6" name="FSC#COOELAK@1.1001:FileRefOrdinal">
    <vt:lpwstr>2625</vt:lpwstr>
  </property>
  <property fmtid="{D5CDD505-2E9C-101B-9397-08002B2CF9AE}" pid="7" name="FSC#COOELAK@1.1001:FileRefOU">
    <vt:lpwstr>ABAB /seco inaktiv</vt:lpwstr>
  </property>
  <property fmtid="{D5CDD505-2E9C-101B-9397-08002B2CF9AE}" pid="8" name="FSC#COOELAK@1.1001:Organization">
    <vt:lpwstr/>
  </property>
  <property fmtid="{D5CDD505-2E9C-101B-9397-08002B2CF9AE}" pid="9" name="FSC#COOELAK@1.1001:Owner">
    <vt:lpwstr> seco Baumberger</vt:lpwstr>
  </property>
  <property fmtid="{D5CDD505-2E9C-101B-9397-08002B2CF9AE}" pid="10" name="FSC#COOELAK@1.1001:OwnerExtension">
    <vt:lpwstr>+41 31 323 57 23</vt:lpwstr>
  </property>
  <property fmtid="{D5CDD505-2E9C-101B-9397-08002B2CF9AE}" pid="11" name="FSC#COOELAK@1.1001:OwnerFaxExtension">
    <vt:lpwstr>+41 31 311 38 35</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Arbeitsmarktaufsicht (PAAM /seco)</vt:lpwstr>
  </property>
  <property fmtid="{D5CDD505-2E9C-101B-9397-08002B2CF9AE}" pid="17" name="FSC#COOELAK@1.1001:CreatedAt">
    <vt:lpwstr>28.01.2014 09:09:42</vt:lpwstr>
  </property>
  <property fmtid="{D5CDD505-2E9C-101B-9397-08002B2CF9AE}" pid="18" name="FSC#COOELAK@1.1001:OU">
    <vt:lpwstr>Arbeitsmarktaufsicht (PAAM /seco)</vt:lpwstr>
  </property>
  <property fmtid="{D5CDD505-2E9C-101B-9397-08002B2CF9AE}" pid="19" name="FSC#COOELAK@1.1001:Priority">
    <vt:lpwstr/>
  </property>
  <property fmtid="{D5CDD505-2E9C-101B-9397-08002B2CF9AE}" pid="20" name="FSC#COOELAK@1.1001:ObjBarCode">
    <vt:lpwstr>*COO.2101.104.5.4123287*</vt:lpwstr>
  </property>
  <property fmtid="{D5CDD505-2E9C-101B-9397-08002B2CF9AE}" pid="21" name="FSC#COOELAK@1.1001:RefBarCode">
    <vt:lpwstr>*Definitiv_Berechnungshilfe_2014_d*</vt:lpwstr>
  </property>
  <property fmtid="{D5CDD505-2E9C-101B-9397-08002B2CF9AE}" pid="22" name="FSC#COOELAK@1.1001:FileRefBarCode">
    <vt:lpwstr>*07 Weisungen FlaM (515.1/2005/02625)*</vt:lpwstr>
  </property>
  <property fmtid="{D5CDD505-2E9C-101B-9397-08002B2CF9AE}" pid="23" name="FSC#COOELAK@1.1001:ExternalRef">
    <vt:lpwstr/>
  </property>
  <property fmtid="{D5CDD505-2E9C-101B-9397-08002B2CF9AE}" pid="24" name="FSC#EVDCFG@15.1400:Dossierref">
    <vt:lpwstr>515.1/2005/02625</vt:lpwstr>
  </property>
  <property fmtid="{D5CDD505-2E9C-101B-9397-08002B2CF9AE}" pid="25" name="FSC#EVDCFG@15.1400:FileRespEmail">
    <vt:lpwstr>ursula.scherrer@seco.admin.ch</vt:lpwstr>
  </property>
  <property fmtid="{D5CDD505-2E9C-101B-9397-08002B2CF9AE}" pid="26" name="FSC#EVDCFG@15.1400:FileRespFax">
    <vt:lpwstr>+41 (31) 322 78 31</vt:lpwstr>
  </property>
  <property fmtid="{D5CDD505-2E9C-101B-9397-08002B2CF9AE}" pid="27" name="FSC#EVDCFG@15.1400:FileRespHome">
    <vt:lpwstr>Bern</vt:lpwstr>
  </property>
  <property fmtid="{D5CDD505-2E9C-101B-9397-08002B2CF9AE}" pid="28" name="FSC#EVDCFG@15.1400:FileResponsible">
    <vt:lpwstr>Ursula Scherrer</vt:lpwstr>
  </property>
  <property fmtid="{D5CDD505-2E9C-101B-9397-08002B2CF9AE}" pid="29" name="FSC#EVDCFG@15.1400:FileRespOrg">
    <vt:lpwstr>Arbeitsmarktaufsicht</vt:lpwstr>
  </property>
  <property fmtid="{D5CDD505-2E9C-101B-9397-08002B2CF9AE}" pid="30" name="FSC#EVDCFG@15.1400:FileRespOrgHome">
    <vt:lpwstr/>
  </property>
  <property fmtid="{D5CDD505-2E9C-101B-9397-08002B2CF9AE}" pid="31" name="FSC#EVDCFG@15.1400:FileRespOrgStreet">
    <vt:lpwstr/>
  </property>
  <property fmtid="{D5CDD505-2E9C-101B-9397-08002B2CF9AE}" pid="32" name="FSC#EVDCFG@15.1400:FileRespOrgZipCode">
    <vt:lpwstr/>
  </property>
  <property fmtid="{D5CDD505-2E9C-101B-9397-08002B2CF9AE}" pid="33" name="FSC#EVDCFG@15.1400:FileRespshortsign">
    <vt:lpwstr>seu</vt:lpwstr>
  </property>
  <property fmtid="{D5CDD505-2E9C-101B-9397-08002B2CF9AE}" pid="34" name="FSC#EVDCFG@15.1400:FileRespStreet">
    <vt:lpwstr>Effingerstrasse 31</vt:lpwstr>
  </property>
  <property fmtid="{D5CDD505-2E9C-101B-9397-08002B2CF9AE}" pid="35" name="FSC#EVDCFG@15.1400:FileRespTel">
    <vt:lpwstr>+41 (31) 323 53 02</vt:lpwstr>
  </property>
  <property fmtid="{D5CDD505-2E9C-101B-9397-08002B2CF9AE}" pid="36" name="FSC#EVDCFG@15.1400:FileRespZipCode">
    <vt:lpwstr>3003</vt:lpwstr>
  </property>
  <property fmtid="{D5CDD505-2E9C-101B-9397-08002B2CF9AE}" pid="37" name="FSC#EVDCFG@15.1400:OutAttachElectr">
    <vt:lpwstr/>
  </property>
  <property fmtid="{D5CDD505-2E9C-101B-9397-08002B2CF9AE}" pid="38" name="FSC#EVDCFG@15.1400:OutAttachPhysic">
    <vt:lpwstr/>
  </property>
  <property fmtid="{D5CDD505-2E9C-101B-9397-08002B2CF9AE}" pid="39" name="FSC#EVDCFG@15.1400:SignAcceptedDraft1">
    <vt:lpwstr/>
  </property>
  <property fmtid="{D5CDD505-2E9C-101B-9397-08002B2CF9AE}" pid="40" name="FSC#EVDCFG@15.1400:SignAcceptedDraft1FR">
    <vt:lpwstr/>
  </property>
  <property fmtid="{D5CDD505-2E9C-101B-9397-08002B2CF9AE}" pid="41" name="FSC#EVDCFG@15.1400:SignAcceptedDraft2">
    <vt:lpwstr/>
  </property>
  <property fmtid="{D5CDD505-2E9C-101B-9397-08002B2CF9AE}" pid="42" name="FSC#EVDCFG@15.1400:SignAcceptedDraft2FR">
    <vt:lpwstr/>
  </property>
  <property fmtid="{D5CDD505-2E9C-101B-9397-08002B2CF9AE}" pid="43" name="FSC#EVDCFG@15.1400:SignApproved1">
    <vt:lpwstr/>
  </property>
  <property fmtid="{D5CDD505-2E9C-101B-9397-08002B2CF9AE}" pid="44" name="FSC#EVDCFG@15.1400:SignApproved1FR">
    <vt:lpwstr/>
  </property>
  <property fmtid="{D5CDD505-2E9C-101B-9397-08002B2CF9AE}" pid="45" name="FSC#EVDCFG@15.1400:SignApproved2">
    <vt:lpwstr/>
  </property>
  <property fmtid="{D5CDD505-2E9C-101B-9397-08002B2CF9AE}" pid="46" name="FSC#EVDCFG@15.1400:SignApproved2FR">
    <vt:lpwstr/>
  </property>
  <property fmtid="{D5CDD505-2E9C-101B-9397-08002B2CF9AE}" pid="47" name="FSC#EVDCFG@15.1400:SubDossierBarCode">
    <vt:lpwstr>*COO.2101.104.6.2392664*</vt:lpwstr>
  </property>
  <property fmtid="{D5CDD505-2E9C-101B-9397-08002B2CF9AE}" pid="48" name="FSC#EVDCFG@15.1400:Subject">
    <vt:lpwstr/>
  </property>
  <property fmtid="{D5CDD505-2E9C-101B-9397-08002B2CF9AE}" pid="49" name="FSC#EVDCFG@15.1400:Title">
    <vt:lpwstr>Entwürfe rev. Weisung 2013 </vt:lpwstr>
  </property>
  <property fmtid="{D5CDD505-2E9C-101B-9397-08002B2CF9AE}" pid="50" name="FSC#EVDCFG@15.1400:UserFunction">
    <vt:lpwstr/>
  </property>
  <property fmtid="{D5CDD505-2E9C-101B-9397-08002B2CF9AE}" pid="51" name="FSC#EVDCFG@15.1400:SalutationEnglish">
    <vt:lpwstr>Free Movement of Persons and Labour Relations
Supervision of the labour market</vt:lpwstr>
  </property>
  <property fmtid="{D5CDD505-2E9C-101B-9397-08002B2CF9AE}" pid="52" name="FSC#EVDCFG@15.1400:SalutationFrench">
    <vt:lpwstr>Libre circulation des personnes et Relations du travail
Surveillance du marché du travail</vt:lpwstr>
  </property>
  <property fmtid="{D5CDD505-2E9C-101B-9397-08002B2CF9AE}" pid="53" name="FSC#EVDCFG@15.1400:SalutationGerman">
    <vt:lpwstr>Personenfreizügigkeit und Arbeitsbeziehungen
Arbeitsmarktaufsicht</vt:lpwstr>
  </property>
  <property fmtid="{D5CDD505-2E9C-101B-9397-08002B2CF9AE}" pid="54" name="FSC#EVDCFG@15.1400:SalutationItalian">
    <vt:lpwstr>Libera circolazione delle persone e Relazioni di lavoro
Sorveglianza del mercato di lavoro</vt:lpwstr>
  </property>
  <property fmtid="{D5CDD505-2E9C-101B-9397-08002B2CF9AE}" pid="55" name="FSC#EVDCFG@15.1400:SalutationEnglishUser">
    <vt:lpwstr/>
  </property>
  <property fmtid="{D5CDD505-2E9C-101B-9397-08002B2CF9AE}" pid="56" name="FSC#EVDCFG@15.1400:SalutationFrenchUser">
    <vt:lpwstr/>
  </property>
  <property fmtid="{D5CDD505-2E9C-101B-9397-08002B2CF9AE}" pid="57" name="FSC#EVDCFG@15.1400:SalutationGermanUser">
    <vt:lpwstr/>
  </property>
  <property fmtid="{D5CDD505-2E9C-101B-9397-08002B2CF9AE}" pid="58" name="FSC#EVDCFG@15.1400:SalutationItalianUser">
    <vt:lpwstr/>
  </property>
  <property fmtid="{D5CDD505-2E9C-101B-9397-08002B2CF9AE}" pid="59" name="FSC#EVDCFG@15.1400:PositionNumber">
    <vt:lpwstr>515.1</vt:lpwstr>
  </property>
  <property fmtid="{D5CDD505-2E9C-101B-9397-08002B2CF9AE}" pid="60" name="FSC#COOELAK@1.1001:IncomingNumber">
    <vt:lpwstr/>
  </property>
  <property fmtid="{D5CDD505-2E9C-101B-9397-08002B2CF9AE}" pid="61" name="FSC#COOELAK@1.1001:IncomingSubject">
    <vt:lpwstr/>
  </property>
  <property fmtid="{D5CDD505-2E9C-101B-9397-08002B2CF9AE}" pid="62" name="FSC#COOELAK@1.1001:ProcessResponsible">
    <vt:lpwstr/>
  </property>
  <property fmtid="{D5CDD505-2E9C-101B-9397-08002B2CF9AE}" pid="63" name="FSC#COOELAK@1.1001:ProcessResponsiblePhone">
    <vt:lpwstr/>
  </property>
  <property fmtid="{D5CDD505-2E9C-101B-9397-08002B2CF9AE}" pid="64" name="FSC#COOELAK@1.1001:ProcessResponsibleMail">
    <vt:lpwstr/>
  </property>
  <property fmtid="{D5CDD505-2E9C-101B-9397-08002B2CF9AE}" pid="65" name="FSC#COOELAK@1.1001:ProcessResponsibleFax">
    <vt:lpwstr/>
  </property>
  <property fmtid="{D5CDD505-2E9C-101B-9397-08002B2CF9AE}" pid="66" name="FSC#COOELAK@1.1001:ApproverFirstName">
    <vt:lpwstr/>
  </property>
  <property fmtid="{D5CDD505-2E9C-101B-9397-08002B2CF9AE}" pid="67" name="FSC#COOELAK@1.1001:ApproverSurName">
    <vt:lpwstr/>
  </property>
  <property fmtid="{D5CDD505-2E9C-101B-9397-08002B2CF9AE}" pid="68" name="FSC#COOELAK@1.1001:ApproverTitle">
    <vt:lpwstr/>
  </property>
  <property fmtid="{D5CDD505-2E9C-101B-9397-08002B2CF9AE}" pid="69" name="FSC#COOELAK@1.1001:ExternalDate">
    <vt:lpwstr/>
  </property>
  <property fmtid="{D5CDD505-2E9C-101B-9397-08002B2CF9AE}" pid="70" name="FSC#COOELAK@1.1001:SettlementApprovedAt">
    <vt:lpwstr/>
  </property>
  <property fmtid="{D5CDD505-2E9C-101B-9397-08002B2CF9AE}" pid="71" name="FSC#COOELAK@1.1001:BaseNumber">
    <vt:lpwstr/>
  </property>
  <property fmtid="{D5CDD505-2E9C-101B-9397-08002B2CF9AE}" pid="72" name="FSC#ELAKGOV@1.1001:PersonalSubjGender">
    <vt:lpwstr/>
  </property>
  <property fmtid="{D5CDD505-2E9C-101B-9397-08002B2CF9AE}" pid="73" name="FSC#ELAKGOV@1.1001:PersonalSubjFirstName">
    <vt:lpwstr/>
  </property>
  <property fmtid="{D5CDD505-2E9C-101B-9397-08002B2CF9AE}" pid="74" name="FSC#ELAKGOV@1.1001:PersonalSubjSurName">
    <vt:lpwstr/>
  </property>
  <property fmtid="{D5CDD505-2E9C-101B-9397-08002B2CF9AE}" pid="75" name="FSC#ELAKGOV@1.1001:PersonalSubjSalutation">
    <vt:lpwstr/>
  </property>
  <property fmtid="{D5CDD505-2E9C-101B-9397-08002B2CF9AE}" pid="76" name="FSC#ELAKGOV@1.1001:PersonalSubjAddress">
    <vt:lpwstr/>
  </property>
  <property fmtid="{D5CDD505-2E9C-101B-9397-08002B2CF9AE}" pid="77" name="FSC#EVDCFG@15.1400:UserInCharge">
    <vt:lpwstr/>
  </property>
  <property fmtid="{D5CDD505-2E9C-101B-9397-08002B2CF9AE}" pid="78" name="FSC#EVDCFG@15.1400:FileRespOrgShortname">
    <vt:lpwstr>PAAM /seco</vt:lpwstr>
  </property>
  <property fmtid="{D5CDD505-2E9C-101B-9397-08002B2CF9AE}" pid="79" name="FSC#EVDCFG@15.1400:ActualVersionNumber">
    <vt:lpwstr>1</vt:lpwstr>
  </property>
  <property fmtid="{D5CDD505-2E9C-101B-9397-08002B2CF9AE}" pid="80" name="FSC#EVDCFG@15.1400:ActualVersionCreatedAt">
    <vt:lpwstr>28.01.2014 09:09:42</vt:lpwstr>
  </property>
  <property fmtid="{D5CDD505-2E9C-101B-9397-08002B2CF9AE}" pid="81" name="FSC#COOELAK@1.1001:CurrentUserRolePos">
    <vt:lpwstr>Sachbearbeiter/-in</vt:lpwstr>
  </property>
  <property fmtid="{D5CDD505-2E9C-101B-9397-08002B2CF9AE}" pid="82" name="FSC#COOELAK@1.1001:CurrentUserEmail">
    <vt:lpwstr>daniel.baumberger@seco.admin.ch</vt:lpwstr>
  </property>
  <property fmtid="{D5CDD505-2E9C-101B-9397-08002B2CF9AE}" pid="83" name="FSC#EVDCFG@15.1400:ResponsibleBureau_DE">
    <vt:lpwstr>Staatssekretariat für Wirtschaft SECO</vt:lpwstr>
  </property>
  <property fmtid="{D5CDD505-2E9C-101B-9397-08002B2CF9AE}" pid="84" name="FSC#EVDCFG@15.1400:ResponsibleBureau_EN">
    <vt:lpwstr>State Secretariat for Economic Affairs SECO</vt:lpwstr>
  </property>
  <property fmtid="{D5CDD505-2E9C-101B-9397-08002B2CF9AE}" pid="85" name="FSC#EVDCFG@15.1400:ResponsibleBureau_FR">
    <vt:lpwstr>Secrétariat d'Etat à l'économie SECO</vt:lpwstr>
  </property>
  <property fmtid="{D5CDD505-2E9C-101B-9397-08002B2CF9AE}" pid="86" name="FSC#EVDCFG@15.1400:ResponsibleBureau_IT">
    <vt:lpwstr>Segreteria di Stato dell'economia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